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ata\SALG\Marketing\Priser_og_Prislister\EXCEL regneark fra webside\"/>
    </mc:Choice>
  </mc:AlternateContent>
  <workbookProtection workbookPassword="FF9C" lockStructure="1"/>
  <bookViews>
    <workbookView showHorizontalScroll="0" showVerticalScroll="0" showSheetTabs="0" xWindow="1365" yWindow="105" windowWidth="8400" windowHeight="13920"/>
  </bookViews>
  <sheets>
    <sheet name="Sheet1" sheetId="1" r:id="rId1"/>
    <sheet name="Sheet2" sheetId="2" r:id="rId2"/>
    <sheet name="Sheet3" sheetId="3" r:id="rId3"/>
  </sheets>
  <definedNames>
    <definedName name="damptabel">Sheet1!$N$60:$P$149</definedName>
    <definedName name="lufttabel">Sheet1!$AQ$59:$AU$321</definedName>
    <definedName name="_xlnm.Print_Area" localSheetId="0">Sheet1!$C$2:$H$69</definedName>
    <definedName name="Z_3B4B8DC2_FA84_11D2_9A83_D06F0DC10000_.wvu.Cols" localSheetId="0" hidden="1">Sheet1!$J:$J</definedName>
    <definedName name="Z_3B4B8DC2_FA84_11D2_9A83_D06F0DC10000_.wvu.PrintArea" localSheetId="0" hidden="1">Sheet1!$C$2:$H$69</definedName>
  </definedNames>
  <calcPr calcId="152511"/>
  <customWorkbookViews>
    <customWorkbookView name="ab - Personal View" guid="{3B4B8DC2-FA84-11D2-9A83-D06F0DC10000}" mergeInterval="0" personalView="1" maximized="1" showHorizontalScroll="0" showVerticalScroll="0" showSheetTabs="0" windowWidth="1020" windowHeight="606" activeSheetId="1"/>
  </customWorkbookViews>
</workbook>
</file>

<file path=xl/calcChain.xml><?xml version="1.0" encoding="utf-8"?>
<calcChain xmlns="http://schemas.openxmlformats.org/spreadsheetml/2006/main">
  <c r="E52" i="1" l="1"/>
  <c r="G52" i="1"/>
  <c r="G9" i="1" l="1"/>
  <c r="G13" i="1"/>
  <c r="G17" i="1"/>
  <c r="G26" i="1"/>
  <c r="E28" i="1"/>
  <c r="H137" i="1"/>
  <c r="G28" i="1"/>
  <c r="Z70" i="1"/>
  <c r="Z73" i="1" s="1"/>
  <c r="Z74" i="1" s="1"/>
  <c r="Z71" i="1"/>
  <c r="Z72" i="1"/>
  <c r="Z76" i="1"/>
  <c r="AF76" i="1"/>
  <c r="AF77" i="1"/>
  <c r="AH134" i="1" s="1"/>
  <c r="E77" i="1"/>
  <c r="E84" i="1" s="1"/>
  <c r="Z77" i="1"/>
  <c r="Z78" i="1"/>
  <c r="Z85" i="1" s="1"/>
  <c r="Z80" i="1"/>
  <c r="Z79" i="1"/>
  <c r="E88" i="1"/>
  <c r="E89" i="1"/>
  <c r="AF89" i="1"/>
  <c r="AG89" i="1" s="1"/>
  <c r="AH89" i="1" s="1"/>
  <c r="E91" i="1"/>
  <c r="Z96" i="1"/>
  <c r="Z98" i="1"/>
  <c r="Z100" i="1" s="1"/>
  <c r="D106" i="1"/>
  <c r="Z109" i="1"/>
  <c r="Z135" i="1" s="1"/>
  <c r="AB135" i="1" s="1"/>
  <c r="Z110" i="1"/>
  <c r="Z111" i="1"/>
  <c r="AC111" i="1"/>
  <c r="Z114" i="1"/>
  <c r="G30" i="1"/>
  <c r="H122" i="1"/>
  <c r="AA122" i="1"/>
  <c r="H124" i="1"/>
  <c r="G118" i="1"/>
  <c r="H125" i="1"/>
  <c r="G112" i="1" s="1"/>
  <c r="AG125" i="1"/>
  <c r="H127" i="1"/>
  <c r="G110" i="1" s="1"/>
  <c r="H128" i="1"/>
  <c r="G108" i="1" s="1"/>
  <c r="H112" i="1"/>
  <c r="G113" i="1" s="1"/>
  <c r="H135" i="1"/>
  <c r="G115" i="1" s="1"/>
  <c r="E30" i="1" s="1"/>
  <c r="H136" i="1"/>
  <c r="Z83" i="1"/>
  <c r="Z87" i="1"/>
  <c r="Z106" i="1"/>
  <c r="Z123" i="1" s="1"/>
  <c r="Z126" i="1"/>
  <c r="E92" i="1" l="1"/>
  <c r="E93" i="1"/>
  <c r="H132" i="1"/>
  <c r="H130" i="1"/>
  <c r="E19" i="1" s="1"/>
  <c r="G19" i="1" s="1"/>
  <c r="Z117" i="1"/>
  <c r="Z147" i="1"/>
  <c r="Z81" i="1"/>
  <c r="Z113" i="1" s="1"/>
  <c r="AC113" i="1" s="1"/>
  <c r="AB120" i="1" s="1"/>
  <c r="Z112" i="1"/>
  <c r="AC112" i="1" s="1"/>
  <c r="G99" i="1"/>
  <c r="G102" i="1" s="1"/>
  <c r="H140" i="1" s="1"/>
  <c r="H141" i="1" l="1"/>
  <c r="E46" i="1" s="1"/>
  <c r="G46" i="1" s="1"/>
  <c r="G117" i="1"/>
  <c r="E44" i="1"/>
  <c r="G44" i="1" s="1"/>
  <c r="AF56" i="1"/>
  <c r="E94" i="1"/>
  <c r="Z143" i="1"/>
  <c r="Z144" i="1" s="1"/>
  <c r="Z120" i="1"/>
  <c r="AA120" i="1" s="1"/>
  <c r="Z145" i="1"/>
  <c r="Z118" i="1"/>
  <c r="Z122" i="1" s="1"/>
  <c r="Z125" i="1" s="1"/>
  <c r="H134" i="1"/>
  <c r="E32" i="1" s="1"/>
  <c r="G32" i="1" s="1"/>
  <c r="G119" i="1"/>
  <c r="E35" i="1"/>
  <c r="AF53" i="1"/>
  <c r="I146" i="1" l="1"/>
  <c r="G120" i="1"/>
  <c r="Z129" i="1"/>
  <c r="Z128" i="1"/>
  <c r="G35" i="1"/>
  <c r="E79" i="1"/>
  <c r="D108" i="1" s="1"/>
  <c r="E82" i="1"/>
  <c r="Z146" i="1"/>
  <c r="Z148" i="1" s="1"/>
  <c r="Z130" i="1" l="1"/>
  <c r="E50" i="1"/>
  <c r="G50" i="1" s="1"/>
  <c r="H143" i="1"/>
  <c r="E48" i="1" s="1"/>
  <c r="G48" i="1" s="1"/>
  <c r="Z132" i="1" l="1"/>
  <c r="Z134" i="1" s="1"/>
  <c r="Z137" i="1" l="1"/>
  <c r="Z139" i="1" s="1"/>
  <c r="Z136" i="1"/>
  <c r="Z138" i="1"/>
  <c r="Z140" i="1" s="1"/>
  <c r="Z141" i="1" s="1"/>
  <c r="AB134" i="1"/>
  <c r="Z142" i="1" l="1"/>
  <c r="Z149" i="1" s="1"/>
  <c r="Z150" i="1" s="1"/>
  <c r="Z89" i="1" s="1"/>
  <c r="Z91" i="1" s="1"/>
  <c r="E83" i="1" s="1"/>
  <c r="E85" i="1" s="1"/>
  <c r="E95" i="1" s="1"/>
  <c r="E98" i="1" l="1"/>
  <c r="AF51" i="1"/>
  <c r="AF57" i="1"/>
  <c r="AF82" i="1" l="1"/>
  <c r="AG82" i="1" s="1"/>
  <c r="AH82" i="1" s="1"/>
  <c r="AF84" i="1"/>
  <c r="AG84" i="1" s="1"/>
  <c r="AH84" i="1" s="1"/>
  <c r="AH139" i="1"/>
  <c r="AG129" i="1"/>
  <c r="AH111" i="1"/>
  <c r="AF83" i="1"/>
  <c r="AG83" i="1" s="1"/>
  <c r="AH83" i="1" s="1"/>
  <c r="AF81" i="1"/>
  <c r="AG81" i="1" s="1"/>
  <c r="AF52" i="1"/>
  <c r="AF87" i="1"/>
  <c r="AG87" i="1" s="1"/>
  <c r="AH87" i="1" s="1"/>
  <c r="AG117" i="1"/>
  <c r="AF91" i="1"/>
  <c r="AG122" i="1"/>
  <c r="AF86" i="1"/>
  <c r="AG86" i="1" s="1"/>
  <c r="AH86" i="1" s="1"/>
  <c r="AF85" i="1"/>
  <c r="AG85" i="1" s="1"/>
  <c r="AH85" i="1" s="1"/>
  <c r="AG116" i="1"/>
  <c r="AH131" i="1" s="1"/>
  <c r="AG128" i="1"/>
  <c r="AF88" i="1"/>
  <c r="AG88" i="1" s="1"/>
  <c r="AH88" i="1" s="1"/>
  <c r="AG119" i="1"/>
  <c r="AF97" i="1"/>
  <c r="AG97" i="1" s="1"/>
  <c r="AH97" i="1" s="1"/>
  <c r="AG118" i="1"/>
  <c r="AF90" i="1"/>
  <c r="AG90" i="1" s="1"/>
  <c r="AH90" i="1" s="1"/>
  <c r="AG126" i="1"/>
  <c r="AG121" i="1"/>
  <c r="AG103" i="1" l="1"/>
  <c r="AH81" i="1"/>
  <c r="AH103" i="1" s="1"/>
  <c r="AF101" i="1"/>
  <c r="AG101" i="1" s="1"/>
  <c r="AH101" i="1" s="1"/>
  <c r="AF95" i="1"/>
  <c r="AF100" i="1"/>
  <c r="AG100" i="1" s="1"/>
  <c r="AH100" i="1" s="1"/>
  <c r="AJ57" i="1" s="1"/>
  <c r="AF96" i="1"/>
  <c r="AG96" i="1" s="1"/>
  <c r="AH96" i="1" s="1"/>
  <c r="AG127" i="1"/>
  <c r="AF92" i="1"/>
  <c r="AF98" i="1"/>
  <c r="AG98" i="1" s="1"/>
  <c r="AH98" i="1" s="1"/>
  <c r="AG123" i="1"/>
  <c r="AH137" i="1"/>
  <c r="AF94" i="1"/>
  <c r="AG94" i="1" s="1"/>
  <c r="AH94" i="1" s="1"/>
  <c r="AG91" i="1"/>
  <c r="AH91" i="1" s="1"/>
  <c r="AF93" i="1" l="1"/>
  <c r="AG93" i="1" s="1"/>
  <c r="AH93" i="1" s="1"/>
  <c r="AG92" i="1"/>
  <c r="AH92" i="1" s="1"/>
  <c r="AF99" i="1"/>
  <c r="AG99" i="1" s="1"/>
  <c r="AH99" i="1" s="1"/>
  <c r="AJ56" i="1" s="1"/>
  <c r="AG95" i="1"/>
  <c r="AH95" i="1" s="1"/>
  <c r="AJ53" i="1" l="1"/>
  <c r="AH142" i="1" s="1"/>
  <c r="AI142" i="1" l="1"/>
  <c r="AJ59" i="1"/>
  <c r="AH144" i="1"/>
  <c r="AI144" i="1" s="1"/>
</calcChain>
</file>

<file path=xl/sharedStrings.xml><?xml version="1.0" encoding="utf-8"?>
<sst xmlns="http://schemas.openxmlformats.org/spreadsheetml/2006/main" count="131" uniqueCount="78">
  <si>
    <t>Specific Heat</t>
  </si>
  <si>
    <t>Mass Flow</t>
  </si>
  <si>
    <t>Temperature, Outlet</t>
  </si>
  <si>
    <t>BTU/(lb°F)</t>
  </si>
  <si>
    <t>lb/h</t>
  </si>
  <si>
    <t>BTU/h</t>
  </si>
  <si>
    <t>kJ/(kg°C)  =</t>
  </si>
  <si>
    <t>kg/h  =</t>
  </si>
  <si>
    <t>kW  =</t>
  </si>
  <si>
    <t>°C   =</t>
  </si>
  <si>
    <t>Temperature, Inlet</t>
  </si>
  <si>
    <t>°F</t>
  </si>
  <si>
    <t>NA</t>
  </si>
  <si>
    <t>m</t>
  </si>
  <si>
    <t xml:space="preserve"> </t>
  </si>
  <si>
    <t>a</t>
  </si>
  <si>
    <t>eq</t>
  </si>
  <si>
    <t>el</t>
  </si>
  <si>
    <t>kun for el &gt; 1</t>
  </si>
  <si>
    <t>Afdrejning:</t>
  </si>
  <si>
    <t>Andre materialer/tegn./godkend.</t>
  </si>
  <si>
    <t>Rørplader (200+80) mm x B</t>
  </si>
  <si>
    <t>Samlerør (2 stk. halvrør pr. modul)</t>
  </si>
  <si>
    <t>Ende/skilleplader</t>
  </si>
  <si>
    <t>Flange/rør/fittings:</t>
  </si>
  <si>
    <t>Sideplader 2 mm</t>
  </si>
  <si>
    <t>Bundplade ved flydende bund:</t>
  </si>
  <si>
    <t>Flanger luftside:</t>
  </si>
  <si>
    <t>Måle- og tømmestudse:</t>
  </si>
  <si>
    <t>3.1.B certifikater</t>
  </si>
  <si>
    <t>Isolering &amp; Beklædning:</t>
  </si>
  <si>
    <t>Bolte &amp; pakninger:</t>
  </si>
  <si>
    <t>Stativ</t>
  </si>
  <si>
    <t>Diverse (svejsetråd m.v.):</t>
  </si>
  <si>
    <t>TOTAL 21-31:</t>
  </si>
  <si>
    <t>Tillæg for rørplader over 5 mm</t>
  </si>
  <si>
    <t>(15 kr./hul i arbejdstid; 5 kr/hul i materialer)</t>
  </si>
  <si>
    <t>Værksted andel inkl. ekstraudstyr:</t>
  </si>
  <si>
    <t>Rørpris :</t>
  </si>
  <si>
    <t>Fratrukket</t>
  </si>
  <si>
    <t>Ekstraudstyr separat priser:</t>
  </si>
  <si>
    <t>IALT, uden udstyr:</t>
  </si>
  <si>
    <t>Net Face Height:</t>
  </si>
  <si>
    <t>Total Depth of Unit:</t>
  </si>
  <si>
    <t>Pressure Drop Air:</t>
  </si>
  <si>
    <t>Net Face Width:</t>
  </si>
  <si>
    <t>m  =</t>
  </si>
  <si>
    <t>Pa  =</t>
  </si>
  <si>
    <t>EURO</t>
  </si>
  <si>
    <t>Measurements and prices are approximate values suitable for budget projects only.</t>
  </si>
  <si>
    <t>ft</t>
  </si>
  <si>
    <t>psi</t>
  </si>
  <si>
    <t>DKK =</t>
  </si>
  <si>
    <t>Preliminary Calculation of Prices &amp; Dimensions</t>
  </si>
  <si>
    <t>Fill data the four blue values only. The red values will be the results.</t>
  </si>
  <si>
    <t>NOTE: All above values are preliminary only, given without any responsibility for ABCO.</t>
  </si>
  <si>
    <t>Budget Price 2001:</t>
  </si>
  <si>
    <t>mm</t>
  </si>
  <si>
    <t>%</t>
  </si>
  <si>
    <t>Humidity, Inlet</t>
  </si>
  <si>
    <t>Humidity, Outlet</t>
  </si>
  <si>
    <t>g / kg</t>
  </si>
  <si>
    <t>Coolant - Water</t>
  </si>
  <si>
    <t>Glycol content</t>
  </si>
  <si>
    <t>Condensate Amount</t>
  </si>
  <si>
    <t>Total Capacity</t>
  </si>
  <si>
    <t>Gastight industrial cooler in a heavy duty stainless steel design with heat exchanger, pull-out dripcatcher, condensate</t>
  </si>
  <si>
    <t xml:space="preserve">reservoir, drain, goose neck, flanges, counterflanges, adjustable legs. </t>
  </si>
  <si>
    <t>AB&amp;CO Dehumidifier</t>
  </si>
  <si>
    <t>If this solution seems to be attractive, and you would like to use this heater in your project, please contact our</t>
  </si>
  <si>
    <t>Sales &amp; Projects Dept. for an exsact size and price. The above price is without any accessories e.g. insulation</t>
  </si>
  <si>
    <t xml:space="preserve"> - based on delivery EXW Copenhagen.</t>
  </si>
  <si>
    <t>with cover sheets, counter flangers, armatures and supporting legs. Price is excluding VAT, duties and tax</t>
  </si>
  <si>
    <t>Process Air Side</t>
  </si>
  <si>
    <t>Delivery year</t>
  </si>
  <si>
    <t>For determination of temperatures, flows and capacities, - and finding a suitable AB&amp;CO process air drier.</t>
  </si>
  <si>
    <t>AB&amp;CO - TT BOILERS A/S   |   Copenhagen, Denmark    |   T: +45 4817 7599    W:  www.abco.dk</t>
  </si>
  <si>
    <r>
      <t>AB&amp;CO Process Air Dehumidifier</t>
    </r>
    <r>
      <rPr>
        <vertAlign val="superscript"/>
        <sz val="14"/>
        <color theme="1"/>
        <rFont val="Arial"/>
        <family val="2"/>
      </rPr>
      <t xml:space="preserve">TM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</si>
</sst>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#,##0.0000"/>
    <numFmt numFmtId="168" formatCode="0.00000"/>
    <numFmt numFmtId="169" formatCode="#,##0.00000"/>
    <numFmt numFmtId="170" formatCode="#,##0.000"/>
    <numFmt numFmtId="171" formatCode="#,##0.000000"/>
    <numFmt numFmtId="172" formatCode="_-* #,##0_-;\-* #,##0_-;_-* &quot;-&quot;??_-;_-@_-"/>
    <numFmt numFmtId="173" formatCode="\$#,##0\ ;\(\$#,##0\)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4"/>
      <color indexed="9"/>
      <name val="Arial"/>
      <family val="2"/>
    </font>
    <font>
      <i/>
      <sz val="10"/>
      <color indexed="9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21"/>
      <name val="Arial"/>
      <family val="2"/>
    </font>
    <font>
      <u/>
      <sz val="11"/>
      <color indexed="12"/>
      <name val="Arial"/>
      <family val="2"/>
    </font>
    <font>
      <sz val="10"/>
      <name val="Arial"/>
    </font>
    <font>
      <sz val="10"/>
      <color rgb="FF3016F2"/>
      <name val="Verdana"/>
      <family val="2"/>
    </font>
    <font>
      <b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theme="1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Border="0"/>
    <xf numFmtId="173" fontId="25" fillId="2" borderId="0" applyFont="0" applyFill="0" applyBorder="0" applyAlignment="0" applyProtection="0"/>
    <xf numFmtId="43" fontId="1" fillId="0" borderId="0" applyFont="0" applyFill="0" applyBorder="0" applyAlignment="0" applyProtection="0"/>
    <xf numFmtId="3" fontId="25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3" borderId="0" xfId="0" applyFont="1" applyFill="1" applyAlignment="1" applyProtection="1">
      <alignment horizontal="centerContinuous"/>
      <protection hidden="1"/>
    </xf>
    <xf numFmtId="0" fontId="0" fillId="3" borderId="0" xfId="0" applyFill="1" applyAlignment="1" applyProtection="1">
      <alignment horizontal="centerContinuous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10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170" fontId="4" fillId="3" borderId="1" xfId="0" applyNumberFormat="1" applyFont="1" applyFill="1" applyBorder="1" applyAlignment="1" applyProtection="1">
      <alignment horizontal="center"/>
      <protection hidden="1"/>
    </xf>
    <xf numFmtId="3" fontId="5" fillId="3" borderId="1" xfId="0" applyNumberFormat="1" applyFont="1" applyFill="1" applyBorder="1" applyAlignment="1" applyProtection="1">
      <alignment horizontal="center"/>
      <protection locked="0" hidden="1"/>
    </xf>
    <xf numFmtId="3" fontId="4" fillId="3" borderId="1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165" fontId="4" fillId="3" borderId="1" xfId="0" applyNumberFormat="1" applyFont="1" applyFill="1" applyBorder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165" fontId="4" fillId="3" borderId="0" xfId="0" applyNumberFormat="1" applyFont="1" applyFill="1" applyBorder="1" applyAlignment="1" applyProtection="1">
      <alignment horizontal="center"/>
      <protection hidden="1"/>
    </xf>
    <xf numFmtId="0" fontId="12" fillId="3" borderId="0" xfId="0" applyFont="1" applyFill="1" applyProtection="1">
      <protection hidden="1"/>
    </xf>
    <xf numFmtId="0" fontId="8" fillId="3" borderId="0" xfId="4" applyFill="1" applyAlignment="1" applyProtection="1">
      <protection hidden="1"/>
    </xf>
    <xf numFmtId="0" fontId="15" fillId="3" borderId="0" xfId="0" applyFont="1" applyFill="1" applyProtection="1">
      <protection hidden="1"/>
    </xf>
    <xf numFmtId="0" fontId="15" fillId="3" borderId="0" xfId="0" applyFont="1" applyFill="1" applyBorder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15" fillId="3" borderId="0" xfId="0" applyFont="1" applyFill="1" applyBorder="1" applyProtection="1">
      <protection locked="0" hidden="1"/>
    </xf>
    <xf numFmtId="4" fontId="16" fillId="3" borderId="0" xfId="0" applyNumberFormat="1" applyFont="1" applyFill="1" applyBorder="1" applyAlignment="1" applyProtection="1"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16" fillId="3" borderId="0" xfId="0" applyFont="1" applyFill="1" applyBorder="1" applyProtection="1">
      <protection hidden="1"/>
    </xf>
    <xf numFmtId="0" fontId="16" fillId="3" borderId="0" xfId="0" applyFont="1" applyFill="1" applyBorder="1" applyAlignment="1" applyProtection="1">
      <protection locked="0" hidden="1"/>
    </xf>
    <xf numFmtId="167" fontId="15" fillId="3" borderId="0" xfId="0" applyNumberFormat="1" applyFont="1" applyFill="1" applyBorder="1" applyAlignment="1" applyProtection="1">
      <protection hidden="1"/>
    </xf>
    <xf numFmtId="4" fontId="15" fillId="3" borderId="0" xfId="0" applyNumberFormat="1" applyFont="1" applyFill="1" applyBorder="1" applyAlignment="1" applyProtection="1">
      <protection hidden="1"/>
    </xf>
    <xf numFmtId="0" fontId="17" fillId="3" borderId="0" xfId="0" applyFont="1" applyFill="1" applyBorder="1" applyProtection="1">
      <protection hidden="1"/>
    </xf>
    <xf numFmtId="172" fontId="15" fillId="3" borderId="0" xfId="2" applyNumberFormat="1" applyFont="1" applyFill="1" applyProtection="1">
      <protection hidden="1"/>
    </xf>
    <xf numFmtId="164" fontId="15" fillId="3" borderId="0" xfId="0" applyNumberFormat="1" applyFont="1" applyFill="1" applyProtection="1">
      <protection hidden="1"/>
    </xf>
    <xf numFmtId="0" fontId="16" fillId="3" borderId="0" xfId="0" applyFont="1" applyFill="1" applyProtection="1">
      <protection hidden="1"/>
    </xf>
    <xf numFmtId="166" fontId="15" fillId="2" borderId="0" xfId="0" applyNumberFormat="1" applyFont="1" applyFill="1" applyBorder="1" applyAlignment="1" applyProtection="1">
      <protection hidden="1"/>
    </xf>
    <xf numFmtId="2" fontId="15" fillId="2" borderId="0" xfId="0" applyNumberFormat="1" applyFont="1" applyFill="1" applyBorder="1" applyAlignment="1" applyProtection="1">
      <protection hidden="1"/>
    </xf>
    <xf numFmtId="166" fontId="15" fillId="3" borderId="0" xfId="0" applyNumberFormat="1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164" fontId="15" fillId="3" borderId="0" xfId="0" applyNumberFormat="1" applyFont="1" applyFill="1" applyBorder="1" applyAlignment="1" applyProtection="1">
      <protection hidden="1"/>
    </xf>
    <xf numFmtId="2" fontId="15" fillId="3" borderId="0" xfId="0" applyNumberFormat="1" applyFont="1" applyFill="1" applyBorder="1" applyAlignment="1" applyProtection="1">
      <protection hidden="1"/>
    </xf>
    <xf numFmtId="1" fontId="15" fillId="3" borderId="0" xfId="0" applyNumberFormat="1" applyFont="1" applyFill="1" applyBorder="1" applyAlignment="1" applyProtection="1">
      <protection hidden="1"/>
    </xf>
    <xf numFmtId="170" fontId="15" fillId="3" borderId="0" xfId="0" applyNumberFormat="1" applyFont="1" applyFill="1" applyBorder="1" applyAlignment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4" fontId="15" fillId="2" borderId="0" xfId="0" applyNumberFormat="1" applyFont="1" applyFill="1" applyBorder="1" applyAlignment="1" applyProtection="1">
      <protection hidden="1"/>
    </xf>
    <xf numFmtId="171" fontId="15" fillId="3" borderId="0" xfId="0" applyNumberFormat="1" applyFont="1" applyFill="1" applyBorder="1" applyAlignment="1" applyProtection="1">
      <protection hidden="1"/>
    </xf>
    <xf numFmtId="169" fontId="15" fillId="3" borderId="0" xfId="0" applyNumberFormat="1" applyFont="1" applyFill="1" applyBorder="1" applyAlignment="1" applyProtection="1">
      <protection hidden="1"/>
    </xf>
    <xf numFmtId="3" fontId="15" fillId="4" borderId="0" xfId="3" applyFont="1" applyFill="1" applyBorder="1" applyProtection="1">
      <protection hidden="1"/>
    </xf>
    <xf numFmtId="3" fontId="15" fillId="2" borderId="0" xfId="1" applyNumberFormat="1" applyFont="1" applyFill="1" applyBorder="1" applyProtection="1">
      <protection hidden="1"/>
    </xf>
    <xf numFmtId="0" fontId="15" fillId="3" borderId="0" xfId="0" applyFont="1" applyFill="1" applyAlignment="1" applyProtection="1">
      <alignment horizontal="centerContinuous"/>
      <protection hidden="1"/>
    </xf>
    <xf numFmtId="0" fontId="19" fillId="3" borderId="0" xfId="0" applyFont="1" applyFill="1" applyProtection="1">
      <protection hidden="1"/>
    </xf>
    <xf numFmtId="2" fontId="15" fillId="3" borderId="0" xfId="0" applyNumberFormat="1" applyFont="1" applyFill="1" applyBorder="1" applyProtection="1">
      <protection hidden="1"/>
    </xf>
    <xf numFmtId="166" fontId="15" fillId="3" borderId="0" xfId="0" applyNumberFormat="1" applyFont="1" applyFill="1" applyBorder="1" applyProtection="1">
      <protection hidden="1"/>
    </xf>
    <xf numFmtId="0" fontId="16" fillId="3" borderId="0" xfId="0" applyFont="1" applyFill="1" applyBorder="1" applyAlignment="1" applyProtection="1">
      <protection hidden="1"/>
    </xf>
    <xf numFmtId="165" fontId="16" fillId="3" borderId="0" xfId="0" applyNumberFormat="1" applyFont="1" applyFill="1" applyBorder="1" applyAlignment="1" applyProtection="1">
      <protection hidden="1"/>
    </xf>
    <xf numFmtId="168" fontId="16" fillId="3" borderId="0" xfId="0" applyNumberFormat="1" applyFont="1" applyFill="1" applyBorder="1" applyAlignment="1" applyProtection="1">
      <protection hidden="1"/>
    </xf>
    <xf numFmtId="165" fontId="0" fillId="3" borderId="0" xfId="0" applyNumberFormat="1" applyFill="1" applyProtection="1">
      <protection hidden="1"/>
    </xf>
    <xf numFmtId="0" fontId="5" fillId="3" borderId="0" xfId="4" applyFont="1" applyFill="1" applyAlignment="1" applyProtection="1">
      <protection hidden="1"/>
    </xf>
    <xf numFmtId="0" fontId="21" fillId="3" borderId="0" xfId="0" applyFont="1" applyFill="1" applyProtection="1">
      <protection hidden="1"/>
    </xf>
    <xf numFmtId="164" fontId="22" fillId="3" borderId="0" xfId="0" applyNumberFormat="1" applyFont="1" applyFill="1" applyBorder="1" applyAlignment="1" applyProtection="1">
      <alignment horizontal="center"/>
      <protection hidden="1"/>
    </xf>
    <xf numFmtId="165" fontId="22" fillId="3" borderId="0" xfId="0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21" fillId="3" borderId="0" xfId="0" applyFont="1" applyFill="1" applyBorder="1" applyProtection="1">
      <protection hidden="1"/>
    </xf>
    <xf numFmtId="0" fontId="22" fillId="3" borderId="0" xfId="0" applyFont="1" applyFill="1" applyProtection="1"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0" fontId="17" fillId="3" borderId="0" xfId="0" applyFont="1" applyFill="1" applyBorder="1" applyAlignment="1" applyProtection="1">
      <alignment horizontal="left"/>
      <protection hidden="1"/>
    </xf>
    <xf numFmtId="0" fontId="17" fillId="3" borderId="0" xfId="0" applyFont="1" applyFill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center"/>
      <protection locked="0" hidden="1"/>
    </xf>
    <xf numFmtId="164" fontId="4" fillId="3" borderId="0" xfId="0" applyNumberFormat="1" applyFont="1" applyFill="1" applyBorder="1" applyAlignment="1" applyProtection="1">
      <alignment horizontal="center"/>
      <protection hidden="1"/>
    </xf>
    <xf numFmtId="0" fontId="23" fillId="3" borderId="1" xfId="0" applyFont="1" applyFill="1" applyBorder="1" applyAlignment="1" applyProtection="1">
      <alignment horizontal="center"/>
      <protection locked="0" hidden="1"/>
    </xf>
    <xf numFmtId="164" fontId="2" fillId="3" borderId="0" xfId="0" applyNumberFormat="1" applyFont="1" applyFill="1" applyProtection="1"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19" fillId="0" borderId="0" xfId="0" applyFont="1" applyBorder="1" applyAlignment="1">
      <alignment horizontal="left"/>
    </xf>
    <xf numFmtId="3" fontId="22" fillId="0" borderId="0" xfId="3" applyFont="1" applyFill="1" applyBorder="1" applyAlignment="1" applyProtection="1">
      <alignment horizontal="left"/>
      <protection locked="0"/>
    </xf>
    <xf numFmtId="0" fontId="22" fillId="0" borderId="0" xfId="0" applyFont="1" applyBorder="1" applyAlignment="1">
      <alignment horizontal="left"/>
    </xf>
    <xf numFmtId="164" fontId="19" fillId="0" borderId="0" xfId="0" applyNumberFormat="1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164" fontId="19" fillId="0" borderId="0" xfId="0" applyNumberFormat="1" applyFont="1" applyBorder="1" applyAlignment="1">
      <alignment horizontal="left"/>
    </xf>
    <xf numFmtId="3" fontId="22" fillId="0" borderId="0" xfId="3" applyFont="1" applyFill="1" applyBorder="1" applyAlignment="1">
      <alignment horizontal="left"/>
    </xf>
    <xf numFmtId="0" fontId="11" fillId="3" borderId="0" xfId="0" applyFont="1" applyFill="1" applyBorder="1" applyProtection="1">
      <protection hidden="1"/>
    </xf>
    <xf numFmtId="0" fontId="11" fillId="3" borderId="0" xfId="0" applyFont="1" applyFill="1" applyAlignment="1" applyProtection="1">
      <alignment horizontal="centerContinuous"/>
      <protection hidden="1"/>
    </xf>
    <xf numFmtId="0" fontId="11" fillId="6" borderId="0" xfId="0" applyFont="1" applyFill="1" applyProtection="1">
      <protection hidden="1"/>
    </xf>
    <xf numFmtId="0" fontId="13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15" fillId="6" borderId="0" xfId="0" applyFont="1" applyFill="1" applyProtection="1">
      <protection hidden="1"/>
    </xf>
    <xf numFmtId="0" fontId="13" fillId="6" borderId="0" xfId="0" applyFont="1" applyFill="1" applyAlignment="1" applyProtection="1">
      <alignment horizontal="right"/>
      <protection hidden="1"/>
    </xf>
    <xf numFmtId="49" fontId="24" fillId="6" borderId="0" xfId="4" applyNumberFormat="1" applyFont="1" applyFill="1" applyAlignment="1" applyProtection="1">
      <alignment horizontal="left"/>
      <protection hidden="1"/>
    </xf>
    <xf numFmtId="49" fontId="14" fillId="6" borderId="0" xfId="4" applyNumberFormat="1" applyFont="1" applyFill="1" applyAlignment="1" applyProtection="1">
      <alignment horizontal="right"/>
      <protection hidden="1"/>
    </xf>
    <xf numFmtId="0" fontId="20" fillId="6" borderId="0" xfId="0" applyFont="1" applyFill="1" applyAlignment="1" applyProtection="1">
      <alignment horizontal="right"/>
      <protection hidden="1"/>
    </xf>
    <xf numFmtId="0" fontId="27" fillId="3" borderId="0" xfId="0" applyFont="1" applyFill="1" applyAlignment="1" applyProtection="1">
      <alignment horizontal="left"/>
      <protection hidden="1"/>
    </xf>
    <xf numFmtId="0" fontId="29" fillId="3" borderId="0" xfId="0" applyFont="1" applyFill="1" applyAlignment="1" applyProtection="1">
      <alignment horizontal="left"/>
      <protection hidden="1"/>
    </xf>
    <xf numFmtId="0" fontId="30" fillId="0" borderId="0" xfId="0" applyFont="1"/>
    <xf numFmtId="0" fontId="26" fillId="5" borderId="0" xfId="4" applyFont="1" applyFill="1" applyBorder="1" applyAlignment="1" applyProtection="1">
      <alignment horizontal="center"/>
      <protection hidden="1"/>
    </xf>
    <xf numFmtId="0" fontId="12" fillId="6" borderId="0" xfId="0" applyFont="1" applyFill="1" applyAlignment="1">
      <alignment horizontal="center"/>
    </xf>
  </cellXfs>
  <cellStyles count="5">
    <cellStyle name="Beløb0" xfId="1"/>
    <cellStyle name="Komma" xfId="2" builtinId="3"/>
    <cellStyle name="Komma0" xfId="3"/>
    <cellStyle name="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c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711200</xdr:colOff>
      <xdr:row>1</xdr:row>
      <xdr:rowOff>63500</xdr:rowOff>
    </xdr:from>
    <xdr:to>
      <xdr:col>8</xdr:col>
      <xdr:colOff>12700</xdr:colOff>
      <xdr:row>3</xdr:row>
      <xdr:rowOff>63672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600" y="139700"/>
          <a:ext cx="1130300" cy="584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bco.dk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Y1203"/>
  <sheetViews>
    <sheetView showGridLines="0" showRowColHeaders="0" tabSelected="1" showOutlineSymbols="0" defaultGridColor="0" colorId="17" zoomScale="75" workbookViewId="0">
      <selection activeCell="L5" sqref="L5"/>
    </sheetView>
  </sheetViews>
  <sheetFormatPr defaultRowHeight="12.75" x14ac:dyDescent="0.2"/>
  <cols>
    <col min="1" max="1" width="2" style="3" customWidth="1"/>
    <col min="2" max="2" width="4" style="3" customWidth="1"/>
    <col min="3" max="3" width="20.7109375" style="3" customWidth="1"/>
    <col min="4" max="4" width="9.28515625" style="3" customWidth="1"/>
    <col min="5" max="5" width="16.85546875" style="3" customWidth="1"/>
    <col min="6" max="6" width="15.7109375" style="3" customWidth="1"/>
    <col min="7" max="7" width="16.7109375" style="3" customWidth="1"/>
    <col min="8" max="8" width="10.7109375" style="3" customWidth="1"/>
    <col min="9" max="9" width="9.140625" style="3"/>
    <col min="10" max="10" width="0" style="3" hidden="1" customWidth="1"/>
    <col min="11" max="13" width="9.140625" style="3"/>
    <col min="14" max="15" width="13.7109375" style="3" customWidth="1"/>
    <col min="16" max="23" width="9.140625" style="3"/>
    <col min="24" max="24" width="13.7109375" style="3" customWidth="1"/>
    <col min="25" max="25" width="36.5703125" style="3" customWidth="1"/>
    <col min="26" max="30" width="9.140625" style="3"/>
    <col min="31" max="31" width="43.28515625" style="3" customWidth="1"/>
    <col min="32" max="32" width="9.140625" style="3"/>
    <col min="33" max="33" width="10.85546875" style="3" customWidth="1"/>
    <col min="34" max="34" width="13.5703125" style="3" customWidth="1"/>
    <col min="35" max="35" width="18.7109375" style="3" customWidth="1"/>
    <col min="36" max="36" width="11.42578125" style="3" customWidth="1"/>
    <col min="37" max="37" width="22.42578125" style="3" customWidth="1"/>
    <col min="38" max="16384" width="9.140625" style="3"/>
  </cols>
  <sheetData>
    <row r="1" spans="1:77" ht="6" customHeight="1" x14ac:dyDescent="0.2"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</row>
    <row r="2" spans="1:77" ht="23.25" x14ac:dyDescent="0.35">
      <c r="B2" s="1"/>
      <c r="C2" s="91" t="s">
        <v>53</v>
      </c>
      <c r="D2" s="2"/>
      <c r="E2" s="2"/>
      <c r="F2" s="2"/>
      <c r="G2" s="2"/>
      <c r="H2" s="2"/>
      <c r="I2" s="82"/>
      <c r="J2" s="82"/>
      <c r="K2" s="82"/>
      <c r="L2" s="82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</row>
    <row r="3" spans="1:77" ht="23.25" x14ac:dyDescent="0.35">
      <c r="B3" s="1"/>
      <c r="C3" s="92" t="s">
        <v>77</v>
      </c>
      <c r="D3" s="2"/>
      <c r="E3" s="2"/>
      <c r="F3" s="2"/>
      <c r="H3" s="6"/>
      <c r="I3" s="82"/>
      <c r="J3" s="82"/>
      <c r="K3" s="82"/>
      <c r="L3" s="8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</row>
    <row r="4" spans="1:77" ht="6" customHeight="1" x14ac:dyDescent="0.35">
      <c r="A4" s="1"/>
      <c r="B4" s="1"/>
      <c r="C4" s="2"/>
      <c r="D4" s="2"/>
      <c r="E4" s="2"/>
      <c r="F4" s="2"/>
      <c r="G4" s="2"/>
      <c r="H4" s="2"/>
      <c r="I4" s="51"/>
      <c r="J4" s="51"/>
      <c r="K4" s="51"/>
      <c r="L4" s="5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</row>
    <row r="5" spans="1:77" ht="25.5" customHeight="1" x14ac:dyDescent="0.2">
      <c r="C5" s="4" t="s">
        <v>75</v>
      </c>
      <c r="D5" s="2"/>
      <c r="E5" s="2"/>
      <c r="F5" s="2"/>
      <c r="G5" s="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</row>
    <row r="6" spans="1:77" ht="18.75" customHeight="1" x14ac:dyDescent="0.2"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</row>
    <row r="7" spans="1:77" ht="15.75" x14ac:dyDescent="0.25">
      <c r="C7" s="5" t="s">
        <v>73</v>
      </c>
      <c r="E7" s="3" t="s">
        <v>54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</row>
    <row r="8" spans="1:77" ht="6.75" customHeight="1" x14ac:dyDescent="0.2">
      <c r="C8" s="6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</row>
    <row r="9" spans="1:77" ht="15.75" x14ac:dyDescent="0.25">
      <c r="C9" s="6" t="s">
        <v>10</v>
      </c>
      <c r="E9" s="7">
        <v>30</v>
      </c>
      <c r="F9" s="6" t="s">
        <v>9</v>
      </c>
      <c r="G9" s="8">
        <f>+E9*1.8+32</f>
        <v>86</v>
      </c>
      <c r="H9" s="6" t="s">
        <v>11</v>
      </c>
      <c r="I9" s="65"/>
      <c r="J9" s="52"/>
      <c r="K9" s="52"/>
      <c r="L9" s="5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</row>
    <row r="10" spans="1:77" ht="9" customHeight="1" x14ac:dyDescent="0.25">
      <c r="C10" s="6"/>
      <c r="E10" s="69"/>
      <c r="F10" s="6"/>
      <c r="G10" s="70"/>
      <c r="H10" s="6"/>
      <c r="I10" s="65"/>
      <c r="J10" s="52"/>
      <c r="K10" s="52"/>
      <c r="L10" s="5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77" ht="15.75" x14ac:dyDescent="0.25">
      <c r="C11" s="6" t="s">
        <v>59</v>
      </c>
      <c r="E11" s="7">
        <v>23.3</v>
      </c>
      <c r="F11" s="6" t="s">
        <v>61</v>
      </c>
      <c r="G11" s="70"/>
      <c r="H11" s="6"/>
      <c r="I11" s="65"/>
      <c r="J11" s="52"/>
      <c r="K11" s="52"/>
      <c r="L11" s="5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77" ht="9" customHeight="1" x14ac:dyDescent="0.2">
      <c r="C12" s="6"/>
      <c r="E12" s="9"/>
      <c r="F12" s="6"/>
      <c r="G12" s="10"/>
      <c r="I12" s="52"/>
      <c r="J12" s="52"/>
      <c r="K12" s="52"/>
      <c r="L12" s="5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</row>
    <row r="13" spans="1:77" ht="15.75" x14ac:dyDescent="0.25">
      <c r="C13" s="6" t="s">
        <v>2</v>
      </c>
      <c r="E13" s="7">
        <v>5</v>
      </c>
      <c r="F13" s="6" t="s">
        <v>9</v>
      </c>
      <c r="G13" s="8">
        <f>+E13*1.8+32</f>
        <v>41</v>
      </c>
      <c r="H13" s="6" t="s">
        <v>11</v>
      </c>
      <c r="I13" s="65"/>
      <c r="J13" s="52"/>
      <c r="K13" s="52"/>
      <c r="L13" s="5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ht="6.75" customHeight="1" x14ac:dyDescent="0.2">
      <c r="C14" s="6"/>
      <c r="E14" s="9"/>
      <c r="F14" s="6"/>
      <c r="G14" s="10"/>
      <c r="I14" s="52"/>
      <c r="J14" s="52"/>
      <c r="K14" s="52"/>
      <c r="L14" s="5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ht="15.75" customHeight="1" x14ac:dyDescent="0.25">
      <c r="C15" s="6" t="s">
        <v>60</v>
      </c>
      <c r="E15" s="7">
        <v>5.3</v>
      </c>
      <c r="F15" s="6" t="s">
        <v>61</v>
      </c>
      <c r="G15" s="10"/>
      <c r="I15" s="52"/>
      <c r="J15" s="52"/>
      <c r="K15" s="52"/>
      <c r="L15" s="5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</row>
    <row r="16" spans="1:77" ht="6.75" customHeight="1" x14ac:dyDescent="0.2">
      <c r="C16" s="6"/>
      <c r="E16" s="9"/>
      <c r="F16" s="6"/>
      <c r="G16" s="10"/>
      <c r="I16" s="52"/>
      <c r="J16" s="52"/>
      <c r="K16" s="52"/>
      <c r="L16" s="5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3:77" ht="15.75" x14ac:dyDescent="0.25">
      <c r="C17" s="6" t="s">
        <v>1</v>
      </c>
      <c r="E17" s="12">
        <v>10000</v>
      </c>
      <c r="F17" s="6" t="s">
        <v>7</v>
      </c>
      <c r="G17" s="13">
        <f>+E17*2.205</f>
        <v>22050</v>
      </c>
      <c r="H17" s="6" t="s">
        <v>4</v>
      </c>
      <c r="I17" s="52"/>
      <c r="J17" s="52"/>
      <c r="K17" s="52"/>
      <c r="L17" s="5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</row>
    <row r="18" spans="3:77" ht="7.5" customHeight="1" x14ac:dyDescent="0.2">
      <c r="C18" s="6"/>
      <c r="E18" s="14"/>
      <c r="F18" s="6"/>
      <c r="G18" s="10"/>
      <c r="I18" s="52"/>
      <c r="J18" s="52"/>
      <c r="K18" s="52"/>
      <c r="L18" s="5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</row>
    <row r="19" spans="3:77" ht="15" customHeight="1" x14ac:dyDescent="0.25">
      <c r="C19" s="6" t="s">
        <v>64</v>
      </c>
      <c r="E19" s="15">
        <f>+H130</f>
        <v>175.90149516270887</v>
      </c>
      <c r="F19" s="6" t="s">
        <v>7</v>
      </c>
      <c r="G19" s="15">
        <f>+E19*2.205</f>
        <v>387.86279683377307</v>
      </c>
      <c r="H19" s="6" t="s">
        <v>4</v>
      </c>
      <c r="I19" s="52"/>
      <c r="J19" s="52"/>
      <c r="K19" s="52"/>
      <c r="L19" s="5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3:77" ht="10.5" customHeight="1" x14ac:dyDescent="0.2">
      <c r="C20" s="6"/>
      <c r="E20" s="14"/>
      <c r="F20" s="6"/>
      <c r="G20" s="10"/>
      <c r="I20" s="52"/>
      <c r="J20" s="52"/>
      <c r="K20" s="52"/>
      <c r="L20" s="5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</row>
    <row r="21" spans="3:77" ht="9" customHeight="1" x14ac:dyDescent="0.2">
      <c r="C21" s="6"/>
      <c r="E21" s="14"/>
      <c r="F21" s="6"/>
      <c r="G21" s="10"/>
      <c r="I21" s="52"/>
      <c r="J21" s="52"/>
      <c r="K21" s="52"/>
      <c r="L21" s="5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</row>
    <row r="22" spans="3:77" ht="15.75" x14ac:dyDescent="0.25">
      <c r="C22" s="5" t="s">
        <v>62</v>
      </c>
      <c r="F22" s="6"/>
      <c r="G22" s="10"/>
      <c r="I22" s="52"/>
      <c r="J22" s="52"/>
      <c r="K22" s="52"/>
      <c r="L22" s="5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3:77" ht="5.25" customHeight="1" x14ac:dyDescent="0.25">
      <c r="C23" s="5"/>
      <c r="E23" s="14"/>
      <c r="F23" s="6"/>
      <c r="G23" s="10"/>
      <c r="I23" s="52"/>
      <c r="J23" s="52"/>
      <c r="K23" s="52"/>
      <c r="L23" s="5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</row>
    <row r="24" spans="3:77" ht="15.75" x14ac:dyDescent="0.25">
      <c r="C24" s="6" t="s">
        <v>63</v>
      </c>
      <c r="E24" s="7">
        <v>0</v>
      </c>
      <c r="F24" s="6" t="s">
        <v>58</v>
      </c>
      <c r="G24" s="52"/>
      <c r="H24" s="52"/>
      <c r="I24" s="52"/>
      <c r="J24" s="52"/>
      <c r="K24" s="52"/>
      <c r="L24" s="5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</row>
    <row r="25" spans="3:77" ht="10.5" customHeight="1" x14ac:dyDescent="0.2">
      <c r="C25" s="6"/>
      <c r="E25" s="14"/>
      <c r="F25" s="6"/>
      <c r="G25" s="10"/>
      <c r="I25" s="52"/>
      <c r="J25" s="52"/>
      <c r="K25" s="52"/>
      <c r="L25" s="5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</row>
    <row r="26" spans="3:77" ht="15.75" x14ac:dyDescent="0.25">
      <c r="C26" s="6" t="s">
        <v>10</v>
      </c>
      <c r="E26" s="7">
        <v>2</v>
      </c>
      <c r="F26" s="6" t="s">
        <v>9</v>
      </c>
      <c r="G26" s="8">
        <f>+E26*1.8+32</f>
        <v>35.6</v>
      </c>
      <c r="H26" s="6" t="s">
        <v>11</v>
      </c>
      <c r="I26" s="65"/>
      <c r="J26" s="52"/>
      <c r="K26" s="52"/>
      <c r="L26" s="5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</row>
    <row r="27" spans="3:77" ht="7.5" customHeight="1" x14ac:dyDescent="0.2">
      <c r="C27" s="6"/>
      <c r="E27" s="14"/>
      <c r="F27" s="6"/>
      <c r="G27" s="10"/>
      <c r="I27" s="52"/>
      <c r="J27" s="52"/>
      <c r="K27" s="52"/>
      <c r="L27" s="5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</row>
    <row r="28" spans="3:77" ht="15.75" x14ac:dyDescent="0.25">
      <c r="C28" s="6" t="s">
        <v>2</v>
      </c>
      <c r="E28" s="71">
        <f>+E26+6</f>
        <v>8</v>
      </c>
      <c r="F28" s="6" t="s">
        <v>9</v>
      </c>
      <c r="G28" s="8">
        <f>+E28*1.8+32</f>
        <v>46.4</v>
      </c>
      <c r="H28" s="6" t="s">
        <v>11</v>
      </c>
      <c r="I28" s="52"/>
      <c r="J28" s="52"/>
      <c r="K28" s="52"/>
      <c r="L28" s="5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</row>
    <row r="29" spans="3:77" ht="6.75" customHeight="1" x14ac:dyDescent="0.2">
      <c r="C29" s="6"/>
      <c r="E29" s="14"/>
      <c r="F29" s="6"/>
      <c r="G29" s="10"/>
      <c r="I29" s="52"/>
      <c r="J29" s="52"/>
      <c r="K29" s="52"/>
      <c r="L29" s="5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</row>
    <row r="30" spans="3:77" ht="15.75" x14ac:dyDescent="0.25">
      <c r="C30" s="6" t="s">
        <v>0</v>
      </c>
      <c r="E30" s="8">
        <f>+G115</f>
        <v>4.2149999999999999</v>
      </c>
      <c r="F30" s="72" t="s">
        <v>6</v>
      </c>
      <c r="G30" s="8">
        <f>+(0.45359*0.555555555555556)/1.0551*E30</f>
        <v>1.0066880706410144</v>
      </c>
      <c r="H30" s="6" t="s">
        <v>3</v>
      </c>
      <c r="I30" s="52"/>
      <c r="J30" s="52"/>
      <c r="K30" s="52"/>
      <c r="L30" s="5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</row>
    <row r="31" spans="3:77" ht="6.75" customHeight="1" x14ac:dyDescent="0.2">
      <c r="C31" s="6"/>
      <c r="E31" s="9"/>
      <c r="F31" s="6"/>
      <c r="G31" s="10"/>
      <c r="I31" s="52"/>
      <c r="J31" s="52"/>
      <c r="K31" s="52"/>
      <c r="L31" s="5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</row>
    <row r="32" spans="3:77" ht="15.75" x14ac:dyDescent="0.25">
      <c r="C32" s="6" t="s">
        <v>1</v>
      </c>
      <c r="E32" s="13">
        <f>+H134</f>
        <v>27330.072773537799</v>
      </c>
      <c r="F32" s="6" t="s">
        <v>7</v>
      </c>
      <c r="G32" s="15">
        <f>+E32*2.205</f>
        <v>60262.810465650851</v>
      </c>
      <c r="H32" s="6" t="s">
        <v>4</v>
      </c>
      <c r="I32" s="52"/>
      <c r="J32" s="52"/>
      <c r="K32" s="52"/>
      <c r="L32" s="5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</row>
    <row r="33" spans="3:77" ht="8.25" customHeight="1" x14ac:dyDescent="0.2">
      <c r="C33" s="6"/>
      <c r="E33" s="14"/>
      <c r="F33" s="6"/>
      <c r="G33" s="10"/>
      <c r="I33" s="52"/>
      <c r="J33" s="52"/>
      <c r="K33" s="52"/>
      <c r="L33" s="5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</row>
    <row r="34" spans="3:77" ht="15" customHeight="1" x14ac:dyDescent="0.2">
      <c r="C34" s="6"/>
      <c r="E34" s="14"/>
      <c r="F34" s="6"/>
      <c r="G34" s="10"/>
      <c r="I34" s="52"/>
      <c r="J34" s="52"/>
      <c r="K34" s="52"/>
      <c r="L34" s="5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</row>
    <row r="35" spans="3:77" ht="15.75" x14ac:dyDescent="0.25">
      <c r="C35" s="6" t="s">
        <v>65</v>
      </c>
      <c r="E35" s="15">
        <f>-H132</f>
        <v>191.99376123410303</v>
      </c>
      <c r="F35" s="6" t="s">
        <v>8</v>
      </c>
      <c r="G35" s="13">
        <f>+E35*3410</f>
        <v>654698.72580829135</v>
      </c>
      <c r="H35" s="6" t="s">
        <v>5</v>
      </c>
      <c r="I35" s="52"/>
      <c r="J35" s="52"/>
      <c r="K35" s="52"/>
      <c r="L35" s="5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</row>
    <row r="36" spans="3:77" x14ac:dyDescent="0.2"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</row>
    <row r="37" spans="3:77" x14ac:dyDescent="0.2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</row>
    <row r="38" spans="3:77" x14ac:dyDescent="0.2">
      <c r="C38" s="93" t="s">
        <v>68</v>
      </c>
      <c r="D38"/>
      <c r="E38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</row>
    <row r="39" spans="3:77" ht="24.75" customHeight="1" x14ac:dyDescent="0.2">
      <c r="C39" s="20" t="s">
        <v>66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</row>
    <row r="40" spans="3:77" x14ac:dyDescent="0.2">
      <c r="C40" s="20" t="s">
        <v>67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</row>
    <row r="41" spans="3:77" x14ac:dyDescent="0.2">
      <c r="C41" s="20" t="s">
        <v>49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</row>
    <row r="42" spans="3:77" ht="8.25" customHeight="1" x14ac:dyDescent="0.2">
      <c r="C42" s="6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</row>
    <row r="43" spans="3:77" ht="9.75" customHeight="1" x14ac:dyDescent="0.2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3:77" ht="15.75" x14ac:dyDescent="0.25">
      <c r="C44" s="6" t="s">
        <v>42</v>
      </c>
      <c r="E44" s="15">
        <f>+H140/1000</f>
        <v>0.8266398506403404</v>
      </c>
      <c r="F44" s="6" t="s">
        <v>46</v>
      </c>
      <c r="G44" s="15">
        <f>+E44/0.3048</f>
        <v>2.7120730007885183</v>
      </c>
      <c r="H44" s="6" t="s">
        <v>50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</row>
    <row r="45" spans="3:77" ht="10.5" customHeight="1" x14ac:dyDescent="0.25">
      <c r="C45" s="6"/>
      <c r="E45" s="19"/>
      <c r="F45" s="6"/>
      <c r="G45" s="19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</row>
    <row r="46" spans="3:77" ht="15.75" x14ac:dyDescent="0.25">
      <c r="C46" s="6" t="s">
        <v>45</v>
      </c>
      <c r="E46" s="15">
        <f>+H141/1000</f>
        <v>1.1572957908964765</v>
      </c>
      <c r="F46" s="6" t="s">
        <v>46</v>
      </c>
      <c r="G46" s="15">
        <f>+E46/0.3048</f>
        <v>3.7969022011039253</v>
      </c>
      <c r="H46" s="6" t="s">
        <v>50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3:77" ht="9" customHeight="1" x14ac:dyDescent="0.2">
      <c r="C47" s="6"/>
      <c r="E47" s="58"/>
      <c r="F47" s="6"/>
      <c r="G47" s="58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</row>
    <row r="48" spans="3:77" ht="15.75" x14ac:dyDescent="0.25">
      <c r="C48" s="6" t="s">
        <v>43</v>
      </c>
      <c r="E48" s="15">
        <f>+H143/1000</f>
        <v>1.1591990511737582</v>
      </c>
      <c r="F48" s="6" t="s">
        <v>46</v>
      </c>
      <c r="G48" s="15">
        <f>+E48/0.3048</f>
        <v>3.8031464933522248</v>
      </c>
      <c r="H48" s="6" t="s">
        <v>50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</row>
    <row r="49" spans="2:77" ht="8.25" customHeight="1" x14ac:dyDescent="0.2">
      <c r="C49" s="6"/>
      <c r="F49" s="6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</row>
    <row r="50" spans="2:77" ht="15.75" x14ac:dyDescent="0.25">
      <c r="C50" s="6" t="s">
        <v>44</v>
      </c>
      <c r="E50" s="13">
        <f>360*G120/620</f>
        <v>324.69622326218212</v>
      </c>
      <c r="F50" s="6" t="s">
        <v>47</v>
      </c>
      <c r="G50" s="11">
        <f>+E50/6894.8</f>
        <v>4.709291397316559E-2</v>
      </c>
      <c r="H50" s="6" t="s">
        <v>51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</row>
    <row r="51" spans="2:77" ht="16.5" customHeight="1" x14ac:dyDescent="0.2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5"/>
      <c r="Z51" s="27">
        <v>19</v>
      </c>
      <c r="AA51" s="28"/>
      <c r="AB51" s="22"/>
      <c r="AC51" s="22"/>
      <c r="AD51" s="22"/>
      <c r="AE51" s="23"/>
      <c r="AF51" s="53" t="e">
        <f>+E95/2.8</f>
        <v>#REF!</v>
      </c>
      <c r="AG51" s="26" t="s">
        <v>14</v>
      </c>
      <c r="AH51" s="23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</row>
    <row r="52" spans="2:77" ht="15.75" x14ac:dyDescent="0.25">
      <c r="C52" s="6" t="s">
        <v>56</v>
      </c>
      <c r="E52" s="13">
        <f>+I146*1.035^(E54-2001)*1.2</f>
        <v>246628.31255234964</v>
      </c>
      <c r="F52" s="18" t="s">
        <v>52</v>
      </c>
      <c r="G52" s="13">
        <f>+E52/7.43</f>
        <v>33193.581770168188</v>
      </c>
      <c r="H52" s="18" t="s">
        <v>48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5"/>
      <c r="Z52" s="27">
        <v>1.5</v>
      </c>
      <c r="AA52" s="28"/>
      <c r="AB52" s="22"/>
      <c r="AC52" s="22"/>
      <c r="AD52" s="22"/>
      <c r="AE52" s="23"/>
      <c r="AF52" s="23" t="e">
        <f>+AF51/3</f>
        <v>#REF!</v>
      </c>
      <c r="AG52" s="26" t="s">
        <v>14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</row>
    <row r="53" spans="2:77" x14ac:dyDescent="0.2"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5"/>
      <c r="Z53" s="27">
        <v>12</v>
      </c>
      <c r="AA53" s="28"/>
      <c r="AB53" s="22"/>
      <c r="AC53" s="22"/>
      <c r="AD53" s="22"/>
      <c r="AE53" s="23"/>
      <c r="AF53" s="54">
        <f>+E92</f>
        <v>17.350678316219813</v>
      </c>
      <c r="AG53" s="26"/>
      <c r="AH53" s="23"/>
      <c r="AI53" s="23"/>
      <c r="AJ53" s="23" t="e">
        <f>AH92+AH93</f>
        <v>#REF!</v>
      </c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</row>
    <row r="54" spans="2:77" ht="15.75" x14ac:dyDescent="0.25">
      <c r="C54" s="6" t="s">
        <v>74</v>
      </c>
      <c r="E54" s="7">
        <v>2020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5"/>
      <c r="Z54" s="27"/>
      <c r="AA54" s="28"/>
      <c r="AB54" s="22"/>
      <c r="AC54" s="22"/>
      <c r="AD54" s="22"/>
      <c r="AE54" s="23"/>
      <c r="AF54" s="54"/>
      <c r="AG54" s="26"/>
      <c r="AH54" s="23"/>
      <c r="AI54" s="23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</row>
    <row r="55" spans="2:77" x14ac:dyDescent="0.2"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5"/>
      <c r="Z55" s="27"/>
      <c r="AA55" s="28"/>
      <c r="AB55" s="22"/>
      <c r="AC55" s="22"/>
      <c r="AD55" s="22"/>
      <c r="AE55" s="23"/>
      <c r="AF55" s="54"/>
      <c r="AG55" s="26"/>
      <c r="AH55" s="23"/>
      <c r="AI55" s="23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</row>
    <row r="56" spans="2:77" x14ac:dyDescent="0.2">
      <c r="C56" s="3" t="s">
        <v>69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3"/>
      <c r="Y56" s="25"/>
      <c r="Z56" s="27">
        <v>11</v>
      </c>
      <c r="AA56" s="28"/>
      <c r="AB56" s="22"/>
      <c r="AC56" s="25"/>
      <c r="AD56" s="23"/>
      <c r="AE56" s="23"/>
      <c r="AF56" s="23">
        <f>+E93*1000</f>
        <v>960.94996786551826</v>
      </c>
      <c r="AG56" s="26"/>
      <c r="AH56" s="23"/>
      <c r="AI56" s="23"/>
      <c r="AJ56" s="23" t="e">
        <f>AH99+0.3*AG123+AG127</f>
        <v>#REF!</v>
      </c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</row>
    <row r="57" spans="2:77" x14ac:dyDescent="0.2">
      <c r="C57" s="3" t="s">
        <v>70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3"/>
      <c r="X57" s="23"/>
      <c r="Y57" s="22"/>
      <c r="Z57" s="22"/>
      <c r="AA57" s="22"/>
      <c r="AB57" s="22"/>
      <c r="AC57" s="25"/>
      <c r="AD57" s="23"/>
      <c r="AE57" s="23"/>
      <c r="AF57" s="23" t="e">
        <f>+(E92-0.333)*E95</f>
        <v>#REF!</v>
      </c>
      <c r="AG57" s="26"/>
      <c r="AH57" s="23"/>
      <c r="AI57" s="23"/>
      <c r="AJ57" s="23" t="e">
        <f>AH100+AG128</f>
        <v>#REF!</v>
      </c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</row>
    <row r="58" spans="2:77" x14ac:dyDescent="0.2">
      <c r="C58" s="3" t="s">
        <v>72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3"/>
      <c r="X58" s="23"/>
      <c r="Y58" s="25"/>
      <c r="Z58" s="27">
        <v>3</v>
      </c>
      <c r="AA58" s="24"/>
      <c r="AB58" s="25"/>
      <c r="AC58" s="25"/>
      <c r="AD58" s="23"/>
      <c r="AE58" s="23"/>
      <c r="AF58" s="23">
        <v>0</v>
      </c>
      <c r="AG58" s="26"/>
      <c r="AH58" s="23"/>
      <c r="AI58" s="23"/>
      <c r="AJ58" s="23"/>
      <c r="AK58" s="22"/>
      <c r="AL58" s="22"/>
      <c r="AM58" s="22"/>
      <c r="AN58" s="22"/>
      <c r="AO58" s="22"/>
      <c r="AP58" s="22"/>
      <c r="AQ58" s="22" t="s">
        <v>14</v>
      </c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</row>
    <row r="59" spans="2:77" x14ac:dyDescent="0.2">
      <c r="C59" s="3" t="s">
        <v>71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3"/>
      <c r="X59" s="23"/>
      <c r="Y59" s="22"/>
      <c r="Z59" s="22"/>
      <c r="AA59" s="22"/>
      <c r="AB59" s="25"/>
      <c r="AC59" s="25"/>
      <c r="AD59" s="23"/>
      <c r="AE59" s="23"/>
      <c r="AF59" s="23">
        <v>1</v>
      </c>
      <c r="AG59" s="26"/>
      <c r="AH59" s="26"/>
      <c r="AI59" s="22"/>
      <c r="AJ59" s="23" t="e">
        <f>AH142</f>
        <v>#REF!</v>
      </c>
      <c r="AK59" s="22"/>
      <c r="AL59" s="22"/>
      <c r="AM59" s="22"/>
      <c r="AN59" s="22"/>
      <c r="AO59" s="22"/>
      <c r="AP59" s="22"/>
      <c r="AQ59" s="22">
        <v>-11</v>
      </c>
      <c r="AR59" s="22"/>
      <c r="AS59" s="22" t="s">
        <v>12</v>
      </c>
      <c r="AT59" s="22" t="s">
        <v>12</v>
      </c>
      <c r="AU59" s="22" t="s">
        <v>12</v>
      </c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</row>
    <row r="60" spans="2:77" x14ac:dyDescent="0.2">
      <c r="I60" s="22"/>
      <c r="J60" s="22"/>
      <c r="K60" s="22"/>
      <c r="L60" s="22"/>
      <c r="M60" s="22"/>
      <c r="N60" s="22">
        <v>0.1</v>
      </c>
      <c r="O60" s="22">
        <v>45.8</v>
      </c>
      <c r="P60" s="22">
        <v>2392.9699999999998</v>
      </c>
      <c r="Q60" s="22"/>
      <c r="R60" s="22"/>
      <c r="S60" s="22"/>
      <c r="T60" s="22"/>
      <c r="U60" s="22"/>
      <c r="V60" s="22"/>
      <c r="W60" s="23"/>
      <c r="X60" s="23"/>
      <c r="Y60" s="25"/>
      <c r="Z60" s="55">
        <v>3912</v>
      </c>
      <c r="AA60" s="28"/>
      <c r="AB60" s="24"/>
      <c r="AC60" s="25"/>
      <c r="AD60" s="23"/>
      <c r="AE60" s="23"/>
      <c r="AF60" s="23">
        <v>2</v>
      </c>
      <c r="AG60" s="26"/>
      <c r="AH60" s="26"/>
      <c r="AI60" s="22"/>
      <c r="AJ60" s="22"/>
      <c r="AK60" s="22"/>
      <c r="AL60" s="22"/>
      <c r="AM60" s="22"/>
      <c r="AN60" s="22"/>
      <c r="AO60" s="22"/>
      <c r="AP60" s="22"/>
      <c r="AQ60" s="22">
        <v>-10</v>
      </c>
      <c r="AR60" s="22"/>
      <c r="AS60" s="22">
        <v>1.006</v>
      </c>
      <c r="AT60" s="22">
        <v>2.375E-2</v>
      </c>
      <c r="AU60" s="22">
        <v>16.625</v>
      </c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</row>
    <row r="61" spans="2:77" x14ac:dyDescent="0.2">
      <c r="B61" s="17"/>
      <c r="C61" s="16" t="s">
        <v>55</v>
      </c>
      <c r="I61" s="22"/>
      <c r="J61" s="22"/>
      <c r="K61" s="22"/>
      <c r="L61" s="22"/>
      <c r="M61" s="22"/>
      <c r="N61" s="22">
        <v>0.15</v>
      </c>
      <c r="O61" s="22">
        <v>53.997</v>
      </c>
      <c r="P61" s="22">
        <v>2373.1999999999998</v>
      </c>
      <c r="Q61" s="22"/>
      <c r="R61" s="22"/>
      <c r="S61" s="22"/>
      <c r="T61" s="22"/>
      <c r="U61" s="22"/>
      <c r="V61" s="22"/>
      <c r="W61" s="23"/>
      <c r="X61" s="23"/>
      <c r="Y61" s="22"/>
      <c r="Z61" s="22"/>
      <c r="AA61" s="22"/>
      <c r="AB61" s="24"/>
      <c r="AC61" s="25"/>
      <c r="AD61" s="23"/>
      <c r="AE61" s="23"/>
      <c r="AF61" s="23">
        <v>1</v>
      </c>
      <c r="AG61" s="26"/>
      <c r="AH61" s="26"/>
      <c r="AI61" s="22"/>
      <c r="AJ61" s="22"/>
      <c r="AK61" s="22"/>
      <c r="AL61" s="22"/>
      <c r="AM61" s="22"/>
      <c r="AN61" s="22"/>
      <c r="AO61" s="22"/>
      <c r="AP61" s="22"/>
      <c r="AQ61" s="22">
        <v>-9</v>
      </c>
      <c r="AR61" s="22"/>
      <c r="AS61" s="22">
        <v>1.006</v>
      </c>
      <c r="AT61" s="22">
        <v>2.3824999999999999E-2</v>
      </c>
      <c r="AU61" s="22">
        <v>16.672499999999999</v>
      </c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</row>
    <row r="62" spans="2:77" x14ac:dyDescent="0.2">
      <c r="B62" s="17"/>
      <c r="C62" s="16"/>
      <c r="I62" s="22"/>
      <c r="J62" s="22"/>
      <c r="K62" s="22"/>
      <c r="L62" s="22"/>
      <c r="M62" s="22"/>
      <c r="N62" s="22">
        <v>0.17299999999999999</v>
      </c>
      <c r="O62" s="22">
        <v>57</v>
      </c>
      <c r="P62" s="22">
        <v>2366</v>
      </c>
      <c r="Q62" s="22"/>
      <c r="R62" s="22"/>
      <c r="S62" s="22"/>
      <c r="T62" s="22"/>
      <c r="U62" s="22"/>
      <c r="V62" s="22"/>
      <c r="W62" s="23"/>
      <c r="X62" s="23"/>
      <c r="Y62" s="25"/>
      <c r="Z62" s="56">
        <v>17</v>
      </c>
      <c r="AA62" s="28"/>
      <c r="AB62" s="24"/>
      <c r="AC62" s="25"/>
      <c r="AD62" s="23"/>
      <c r="AE62" s="23"/>
      <c r="AF62" s="23">
        <v>1</v>
      </c>
      <c r="AG62" s="26"/>
      <c r="AH62" s="26"/>
      <c r="AI62" s="22"/>
      <c r="AJ62" s="22"/>
      <c r="AK62" s="22"/>
      <c r="AL62" s="22"/>
      <c r="AM62" s="22"/>
      <c r="AN62" s="22"/>
      <c r="AO62" s="22"/>
      <c r="AP62" s="22"/>
      <c r="AQ62" s="22">
        <v>-8</v>
      </c>
      <c r="AR62" s="22"/>
      <c r="AS62" s="22">
        <v>1.006</v>
      </c>
      <c r="AT62" s="22">
        <v>2.3900000000000001E-2</v>
      </c>
      <c r="AU62" s="22">
        <v>16.72</v>
      </c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</row>
    <row r="63" spans="2:77" x14ac:dyDescent="0.2">
      <c r="B63" s="94" t="s">
        <v>76</v>
      </c>
      <c r="C63" s="95"/>
      <c r="D63" s="95"/>
      <c r="E63" s="95"/>
      <c r="F63" s="95"/>
      <c r="G63" s="95"/>
      <c r="H63" s="95"/>
      <c r="I63" s="95"/>
      <c r="J63" s="95"/>
      <c r="K63" s="95"/>
      <c r="L63" s="22"/>
      <c r="M63" s="22"/>
      <c r="N63" s="22">
        <v>0.2</v>
      </c>
      <c r="O63" s="22">
        <v>60.1</v>
      </c>
      <c r="P63" s="22">
        <v>2358.4499999999998</v>
      </c>
      <c r="Q63" s="22"/>
      <c r="R63" s="22"/>
      <c r="S63" s="22"/>
      <c r="T63" s="22"/>
      <c r="U63" s="22"/>
      <c r="V63" s="22"/>
      <c r="W63" s="23"/>
      <c r="X63" s="23"/>
      <c r="Y63" s="25"/>
      <c r="Z63" s="56">
        <v>240</v>
      </c>
      <c r="AA63" s="28"/>
      <c r="AB63" s="22"/>
      <c r="AC63" s="25"/>
      <c r="AD63" s="23"/>
      <c r="AE63" s="23"/>
      <c r="AF63" s="23">
        <v>1</v>
      </c>
      <c r="AG63" s="26"/>
      <c r="AH63" s="26"/>
      <c r="AI63" s="22"/>
      <c r="AJ63" s="22"/>
      <c r="AK63" s="22"/>
      <c r="AL63" s="22"/>
      <c r="AM63" s="22"/>
      <c r="AN63" s="22"/>
      <c r="AO63" s="22"/>
      <c r="AP63" s="22"/>
      <c r="AQ63" s="22">
        <v>-7</v>
      </c>
      <c r="AR63" s="22"/>
      <c r="AS63" s="22">
        <v>1.006</v>
      </c>
      <c r="AT63" s="22">
        <v>2.3975E-2</v>
      </c>
      <c r="AU63" s="22">
        <v>16.767499999999998</v>
      </c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</row>
    <row r="64" spans="2:77" ht="14.25" x14ac:dyDescent="0.2">
      <c r="B64" s="83"/>
      <c r="C64" s="84"/>
      <c r="D64" s="85"/>
      <c r="E64" s="85"/>
      <c r="F64" s="85"/>
      <c r="G64" s="85"/>
      <c r="H64" s="85"/>
      <c r="I64" s="86"/>
      <c r="J64" s="86"/>
      <c r="K64" s="86"/>
      <c r="L64" s="22"/>
      <c r="M64" s="22"/>
      <c r="N64" s="22">
        <v>0.25</v>
      </c>
      <c r="O64" s="22">
        <v>64.992000000000004</v>
      </c>
      <c r="P64" s="22">
        <v>2346.4</v>
      </c>
      <c r="Q64" s="22"/>
      <c r="R64" s="22"/>
      <c r="S64" s="22"/>
      <c r="T64" s="22"/>
      <c r="U64" s="22"/>
      <c r="V64" s="22"/>
      <c r="W64" s="23"/>
      <c r="X64" s="23"/>
      <c r="Y64" s="22"/>
      <c r="Z64" s="22"/>
      <c r="AA64" s="22"/>
      <c r="AB64" s="22"/>
      <c r="AC64" s="25"/>
      <c r="AD64" s="23"/>
      <c r="AE64" s="23"/>
      <c r="AF64" s="23">
        <v>1</v>
      </c>
      <c r="AG64" s="26"/>
      <c r="AH64" s="26"/>
      <c r="AI64" s="22"/>
      <c r="AJ64" s="22"/>
      <c r="AK64" s="22"/>
      <c r="AL64" s="22"/>
      <c r="AM64" s="22"/>
      <c r="AN64" s="22"/>
      <c r="AO64" s="22"/>
      <c r="AP64" s="22"/>
      <c r="AQ64" s="22">
        <v>-6</v>
      </c>
      <c r="AR64" s="22"/>
      <c r="AS64" s="22">
        <v>1.006</v>
      </c>
      <c r="AT64" s="22">
        <v>2.4050000000000002E-2</v>
      </c>
      <c r="AU64" s="22">
        <v>16.815000000000001</v>
      </c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</row>
    <row r="65" spans="1:77" ht="14.25" x14ac:dyDescent="0.2">
      <c r="B65" s="83"/>
      <c r="C65" s="84"/>
      <c r="D65" s="85"/>
      <c r="E65" s="85"/>
      <c r="F65" s="87"/>
      <c r="G65" s="88"/>
      <c r="H65" s="85"/>
      <c r="I65" s="86"/>
      <c r="J65" s="86"/>
      <c r="K65" s="86"/>
      <c r="L65" s="22"/>
      <c r="M65" s="22"/>
      <c r="N65" s="22">
        <v>0.3</v>
      </c>
      <c r="O65" s="22">
        <v>69.5</v>
      </c>
      <c r="P65" s="22">
        <v>2334</v>
      </c>
      <c r="Q65" s="22"/>
      <c r="R65" s="22"/>
      <c r="S65" s="22"/>
      <c r="T65" s="22"/>
      <c r="U65" s="22"/>
      <c r="V65" s="22"/>
      <c r="W65" s="23"/>
      <c r="X65" s="23"/>
      <c r="Y65" s="25"/>
      <c r="Z65" s="57">
        <v>1E-4</v>
      </c>
      <c r="AA65" s="28"/>
      <c r="AB65" s="22"/>
      <c r="AC65" s="25"/>
      <c r="AD65" s="23"/>
      <c r="AE65" s="23"/>
      <c r="AF65" s="23">
        <v>1</v>
      </c>
      <c r="AG65" s="26"/>
      <c r="AH65" s="26"/>
      <c r="AI65" s="22"/>
      <c r="AJ65" s="22"/>
      <c r="AK65" s="22"/>
      <c r="AL65" s="22"/>
      <c r="AM65" s="22"/>
      <c r="AN65" s="22"/>
      <c r="AO65" s="22"/>
      <c r="AP65" s="22"/>
      <c r="AQ65" s="22">
        <v>-5</v>
      </c>
      <c r="AR65" s="22"/>
      <c r="AS65" s="22">
        <v>1.006</v>
      </c>
      <c r="AT65" s="22">
        <v>2.4125000000000001E-2</v>
      </c>
      <c r="AU65" s="22">
        <v>16.862500000000001</v>
      </c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</row>
    <row r="66" spans="1:77" ht="15" x14ac:dyDescent="0.25">
      <c r="B66" s="83"/>
      <c r="C66" s="84"/>
      <c r="D66" s="85"/>
      <c r="E66" s="85"/>
      <c r="F66" s="87"/>
      <c r="G66" s="89"/>
      <c r="H66" s="90"/>
      <c r="I66" s="86"/>
      <c r="J66" s="86"/>
      <c r="K66" s="86"/>
      <c r="L66" s="22"/>
      <c r="M66" s="22"/>
      <c r="N66" s="22">
        <v>0.35</v>
      </c>
      <c r="O66" s="22">
        <v>72.5</v>
      </c>
      <c r="P66" s="22">
        <v>2323.5</v>
      </c>
      <c r="Q66" s="22"/>
      <c r="R66" s="22"/>
      <c r="S66" s="22"/>
      <c r="T66" s="22"/>
      <c r="U66" s="22"/>
      <c r="V66" s="22"/>
      <c r="W66" s="23"/>
      <c r="X66" s="23"/>
      <c r="Y66" s="25"/>
      <c r="Z66" s="57">
        <v>5.0000000000000002E-5</v>
      </c>
      <c r="AA66" s="28"/>
      <c r="AB66" s="22"/>
      <c r="AC66" s="25"/>
      <c r="AD66" s="23"/>
      <c r="AE66" s="23"/>
      <c r="AF66" s="23"/>
      <c r="AG66" s="26"/>
      <c r="AH66" s="26"/>
      <c r="AI66" s="22"/>
      <c r="AJ66" s="22"/>
      <c r="AK66" s="22"/>
      <c r="AL66" s="22"/>
      <c r="AM66" s="22"/>
      <c r="AN66" s="22"/>
      <c r="AO66" s="22"/>
      <c r="AP66" s="22"/>
      <c r="AQ66" s="22">
        <v>-4</v>
      </c>
      <c r="AR66" s="22"/>
      <c r="AS66" s="22">
        <v>1.006</v>
      </c>
      <c r="AT66" s="22">
        <v>2.4199999999999999E-2</v>
      </c>
      <c r="AU66" s="22">
        <v>16.91</v>
      </c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</row>
    <row r="67" spans="1:77" x14ac:dyDescent="0.2">
      <c r="B67" s="17"/>
      <c r="I67" s="22"/>
      <c r="J67" s="22"/>
      <c r="K67" s="22"/>
      <c r="L67" s="22"/>
      <c r="M67" s="22"/>
      <c r="N67" s="22">
        <v>0.375</v>
      </c>
      <c r="O67" s="22">
        <v>74.192999999999998</v>
      </c>
      <c r="P67" s="22">
        <v>2321.25</v>
      </c>
      <c r="Q67" s="22"/>
      <c r="R67" s="22"/>
      <c r="S67" s="22"/>
      <c r="T67" s="22"/>
      <c r="U67" s="22"/>
      <c r="V67" s="22"/>
      <c r="W67" s="23"/>
      <c r="X67" s="23"/>
      <c r="Y67" s="22"/>
      <c r="Z67" s="22"/>
      <c r="AA67" s="22"/>
      <c r="AB67" s="24"/>
      <c r="AC67" s="25"/>
      <c r="AD67" s="23"/>
      <c r="AE67" s="23" t="s">
        <v>14</v>
      </c>
      <c r="AF67" s="23" t="s">
        <v>14</v>
      </c>
      <c r="AG67" s="23" t="s">
        <v>14</v>
      </c>
      <c r="AH67" s="23"/>
      <c r="AI67" s="22"/>
      <c r="AJ67" s="22"/>
      <c r="AK67" s="22"/>
      <c r="AL67" s="22"/>
      <c r="AM67" s="22"/>
      <c r="AN67" s="22"/>
      <c r="AO67" s="22"/>
      <c r="AP67" s="22"/>
      <c r="AQ67" s="22">
        <v>-3</v>
      </c>
      <c r="AR67" s="22"/>
      <c r="AS67" s="22">
        <v>1.006</v>
      </c>
      <c r="AT67" s="22">
        <v>2.4275000000000001E-2</v>
      </c>
      <c r="AU67" s="22">
        <v>16.9575</v>
      </c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</row>
    <row r="68" spans="1:77" ht="15.75" x14ac:dyDescent="0.25">
      <c r="A68" s="22"/>
      <c r="B68" s="17"/>
      <c r="C68" s="59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>
        <v>0.4</v>
      </c>
      <c r="O68" s="22">
        <v>75.885999999999996</v>
      </c>
      <c r="P68" s="22">
        <v>2319</v>
      </c>
      <c r="Q68" s="22"/>
      <c r="R68" s="22"/>
      <c r="S68" s="22"/>
      <c r="T68" s="22"/>
      <c r="U68" s="22"/>
      <c r="V68" s="22"/>
      <c r="W68" s="23"/>
      <c r="X68" s="23"/>
      <c r="Y68" s="22"/>
      <c r="Z68" s="22"/>
      <c r="AA68" s="22"/>
      <c r="AB68" s="24"/>
      <c r="AC68" s="25"/>
      <c r="AD68" s="23"/>
      <c r="AE68" s="23"/>
      <c r="AF68" s="23"/>
      <c r="AG68" s="23"/>
      <c r="AH68" s="26"/>
      <c r="AI68" s="22"/>
      <c r="AJ68" s="22"/>
      <c r="AK68" s="22"/>
      <c r="AL68" s="22"/>
      <c r="AM68" s="22"/>
      <c r="AN68" s="22"/>
      <c r="AO68" s="22"/>
      <c r="AP68" s="22"/>
      <c r="AQ68" s="22">
        <v>-2</v>
      </c>
      <c r="AR68" s="22"/>
      <c r="AS68" s="22">
        <v>1.006</v>
      </c>
      <c r="AT68" s="22">
        <v>2.435E-2</v>
      </c>
      <c r="AU68" s="22">
        <v>17.004999999999999</v>
      </c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</row>
    <row r="69" spans="1:77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>
        <v>0.45</v>
      </c>
      <c r="O69" s="22">
        <v>78.692999999999998</v>
      </c>
      <c r="P69" s="22">
        <v>2311.5</v>
      </c>
      <c r="Q69" s="22"/>
      <c r="R69" s="22"/>
      <c r="S69" s="22"/>
      <c r="T69" s="22"/>
      <c r="U69" s="22"/>
      <c r="V69" s="22"/>
      <c r="W69" s="23"/>
      <c r="X69" s="23"/>
      <c r="Y69" s="25"/>
      <c r="Z69" s="27">
        <v>1.05</v>
      </c>
      <c r="AA69" s="28"/>
      <c r="AB69" s="24"/>
      <c r="AC69" s="25"/>
      <c r="AD69" s="23"/>
      <c r="AE69" s="23"/>
      <c r="AF69" s="29">
        <v>265</v>
      </c>
      <c r="AG69" s="23"/>
      <c r="AH69" s="26"/>
      <c r="AI69" s="22"/>
      <c r="AJ69" s="22"/>
      <c r="AK69" s="22"/>
      <c r="AL69" s="22"/>
      <c r="AM69" s="22"/>
      <c r="AN69" s="22"/>
      <c r="AO69" s="22"/>
      <c r="AP69" s="22"/>
      <c r="AQ69" s="22">
        <v>-1</v>
      </c>
      <c r="AR69" s="22"/>
      <c r="AS69" s="22">
        <v>1.006</v>
      </c>
      <c r="AT69" s="22">
        <v>2.4425000000000002E-2</v>
      </c>
      <c r="AU69" s="22">
        <v>17.052499999999998</v>
      </c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</row>
    <row r="70" spans="1:77" x14ac:dyDescent="0.2">
      <c r="A70" s="22"/>
      <c r="B70" s="22"/>
      <c r="C70" s="17"/>
      <c r="D70" s="17"/>
      <c r="E70" s="17"/>
      <c r="F70" s="17"/>
      <c r="G70" s="17"/>
      <c r="H70" s="17"/>
      <c r="I70" s="22"/>
      <c r="J70" s="22"/>
      <c r="K70" s="22"/>
      <c r="L70" s="22"/>
      <c r="M70" s="22"/>
      <c r="N70" s="22">
        <v>0.5</v>
      </c>
      <c r="O70" s="22">
        <v>81.5</v>
      </c>
      <c r="P70" s="22">
        <v>2304</v>
      </c>
      <c r="Q70" s="22"/>
      <c r="R70" s="22"/>
      <c r="S70" s="22"/>
      <c r="T70" s="22"/>
      <c r="U70" s="22"/>
      <c r="V70" s="22"/>
      <c r="W70" s="23"/>
      <c r="X70" s="23"/>
      <c r="Y70" s="25"/>
      <c r="Z70" s="24">
        <f>0.5*(E9+E13)</f>
        <v>17.5</v>
      </c>
      <c r="AA70" s="28"/>
      <c r="AB70" s="24"/>
      <c r="AC70" s="25"/>
      <c r="AD70" s="23"/>
      <c r="AE70" s="24"/>
      <c r="AF70" s="30">
        <v>44</v>
      </c>
      <c r="AG70" s="24"/>
      <c r="AH70" s="23"/>
      <c r="AI70" s="22"/>
      <c r="AJ70" s="22"/>
      <c r="AK70" s="22"/>
      <c r="AL70" s="22"/>
      <c r="AM70" s="22"/>
      <c r="AN70" s="22"/>
      <c r="AO70" s="22"/>
      <c r="AP70" s="22"/>
      <c r="AQ70" s="22">
        <v>0</v>
      </c>
      <c r="AR70" s="22"/>
      <c r="AS70" s="22">
        <v>1.006</v>
      </c>
      <c r="AT70" s="22">
        <v>2.4500000000000001E-2</v>
      </c>
      <c r="AU70" s="22">
        <v>17.100000000000001</v>
      </c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</row>
    <row r="71" spans="1:77" x14ac:dyDescent="0.2">
      <c r="A71" s="22"/>
      <c r="B71" s="22"/>
      <c r="C71" s="17"/>
      <c r="D71" s="17"/>
      <c r="E71" s="17"/>
      <c r="F71" s="17"/>
      <c r="G71" s="17"/>
      <c r="H71" s="17"/>
      <c r="I71" s="22"/>
      <c r="J71" s="22"/>
      <c r="K71" s="22"/>
      <c r="L71" s="22"/>
      <c r="M71" s="22"/>
      <c r="N71" s="22">
        <v>0.65</v>
      </c>
      <c r="O71" s="22">
        <v>87.5</v>
      </c>
      <c r="P71" s="22">
        <v>2289</v>
      </c>
      <c r="Q71" s="22"/>
      <c r="R71" s="22"/>
      <c r="S71" s="22"/>
      <c r="T71" s="22"/>
      <c r="U71" s="22"/>
      <c r="V71" s="22"/>
      <c r="W71" s="23"/>
      <c r="X71" s="23"/>
      <c r="Y71" s="25"/>
      <c r="Z71" s="31">
        <f>VLOOKUP(+$Z$70,lufttabel,5)</f>
        <v>17.847999999999999</v>
      </c>
      <c r="AA71" s="28"/>
      <c r="AB71" s="24"/>
      <c r="AC71" s="25"/>
      <c r="AD71" s="23"/>
      <c r="AE71" s="23"/>
      <c r="AF71" s="29">
        <v>28</v>
      </c>
      <c r="AG71" s="23"/>
      <c r="AH71" s="23"/>
      <c r="AI71" s="22"/>
      <c r="AJ71" s="22"/>
      <c r="AK71" s="22"/>
      <c r="AL71" s="22"/>
      <c r="AM71" s="22"/>
      <c r="AN71" s="22"/>
      <c r="AO71" s="22"/>
      <c r="AP71" s="22"/>
      <c r="AQ71" s="22">
        <v>1</v>
      </c>
      <c r="AR71" s="22"/>
      <c r="AS71" s="22">
        <v>1.0060500000000001</v>
      </c>
      <c r="AT71" s="22">
        <v>2.4575E-2</v>
      </c>
      <c r="AU71" s="22">
        <v>17.144000000000002</v>
      </c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</row>
    <row r="72" spans="1:77" x14ac:dyDescent="0.2">
      <c r="A72" s="22"/>
      <c r="B72" s="22"/>
      <c r="C72" s="17"/>
      <c r="D72" s="17"/>
      <c r="E72" s="17"/>
      <c r="F72" s="17"/>
      <c r="G72" s="17"/>
      <c r="H72" s="17"/>
      <c r="I72" s="22"/>
      <c r="J72" s="22"/>
      <c r="K72" s="22"/>
      <c r="L72" s="22"/>
      <c r="M72" s="22"/>
      <c r="N72" s="22">
        <v>0.8</v>
      </c>
      <c r="O72" s="22">
        <v>93.5</v>
      </c>
      <c r="P72" s="22">
        <v>2274</v>
      </c>
      <c r="Q72" s="22"/>
      <c r="R72" s="22"/>
      <c r="S72" s="22"/>
      <c r="T72" s="22"/>
      <c r="U72" s="22"/>
      <c r="V72" s="22"/>
      <c r="W72" s="23"/>
      <c r="X72" s="23"/>
      <c r="Y72" s="25"/>
      <c r="Z72" s="31">
        <f>VLOOKUP(+$Z$70,lufttabel,4)</f>
        <v>2.5774999999999999E-2</v>
      </c>
      <c r="AA72" s="28"/>
      <c r="AB72" s="24"/>
      <c r="AC72" s="25"/>
      <c r="AD72" s="23"/>
      <c r="AE72" s="23"/>
      <c r="AF72" s="29">
        <v>23</v>
      </c>
      <c r="AG72" s="23"/>
      <c r="AH72" s="26"/>
      <c r="AI72" s="22"/>
      <c r="AJ72" s="22"/>
      <c r="AK72" s="22"/>
      <c r="AL72" s="22"/>
      <c r="AM72" s="22"/>
      <c r="AN72" s="22"/>
      <c r="AO72" s="22"/>
      <c r="AP72" s="22"/>
      <c r="AQ72" s="22">
        <v>2</v>
      </c>
      <c r="AR72" s="22"/>
      <c r="AS72" s="22">
        <v>1.0061</v>
      </c>
      <c r="AT72" s="22">
        <v>2.4650000000000002E-2</v>
      </c>
      <c r="AU72" s="22">
        <v>17.188000000000002</v>
      </c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</row>
    <row r="73" spans="1:77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>
        <v>1</v>
      </c>
      <c r="O73" s="22">
        <v>99.63</v>
      </c>
      <c r="P73" s="22">
        <v>2257.89</v>
      </c>
      <c r="Q73" s="22"/>
      <c r="R73" s="22"/>
      <c r="S73" s="22"/>
      <c r="T73" s="22"/>
      <c r="U73" s="22"/>
      <c r="V73" s="22"/>
      <c r="W73" s="23"/>
      <c r="X73" s="22"/>
      <c r="Y73" s="25"/>
      <c r="Z73" s="31">
        <f>VLOOKUP(+$Z$70,lufttabel,3)</f>
        <v>1.00685</v>
      </c>
      <c r="AA73" s="28"/>
      <c r="AB73" s="24"/>
      <c r="AC73" s="25"/>
      <c r="AD73" s="23"/>
      <c r="AE73" s="22"/>
      <c r="AF73" s="22"/>
      <c r="AG73" s="23"/>
      <c r="AH73" s="26"/>
      <c r="AI73" s="22"/>
      <c r="AJ73" s="22"/>
      <c r="AK73" s="22"/>
      <c r="AL73" s="22"/>
      <c r="AM73" s="22"/>
      <c r="AN73" s="22"/>
      <c r="AO73" s="22"/>
      <c r="AP73" s="22"/>
      <c r="AQ73" s="22">
        <v>3</v>
      </c>
      <c r="AR73" s="22"/>
      <c r="AS73" s="22">
        <v>1.0061499999999999</v>
      </c>
      <c r="AT73" s="22">
        <v>2.4725E-2</v>
      </c>
      <c r="AU73" s="22">
        <v>17.232000000000003</v>
      </c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</row>
    <row r="74" spans="1:77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v>1.06</v>
      </c>
      <c r="O74" s="22">
        <v>101.3</v>
      </c>
      <c r="P74" s="22">
        <v>2254.3000000000002</v>
      </c>
      <c r="Q74" s="22"/>
      <c r="R74" s="22"/>
      <c r="S74" s="22"/>
      <c r="T74" s="22"/>
      <c r="U74" s="22"/>
      <c r="V74" s="22"/>
      <c r="W74" s="23"/>
      <c r="X74" s="23"/>
      <c r="Y74" s="25"/>
      <c r="Z74" s="31">
        <f>+Z73*1000*Z71*0.000001/Z72</f>
        <v>0.69719723763336572</v>
      </c>
      <c r="AA74" s="28"/>
      <c r="AB74" s="24"/>
      <c r="AC74" s="22"/>
      <c r="AD74" s="23"/>
      <c r="AE74" s="23"/>
      <c r="AF74" s="23">
        <v>0.05</v>
      </c>
      <c r="AG74" s="23"/>
      <c r="AH74" s="26"/>
      <c r="AI74" s="22"/>
      <c r="AJ74" s="22"/>
      <c r="AK74" s="22"/>
      <c r="AL74" s="22"/>
      <c r="AM74" s="22"/>
      <c r="AN74" s="22"/>
      <c r="AO74" s="22"/>
      <c r="AP74" s="22"/>
      <c r="AQ74" s="22">
        <v>4</v>
      </c>
      <c r="AR74" s="22"/>
      <c r="AS74" s="22">
        <v>1.0062</v>
      </c>
      <c r="AT74" s="22">
        <v>2.4799999999999999E-2</v>
      </c>
      <c r="AU74" s="22">
        <v>17.276</v>
      </c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</row>
    <row r="75" spans="1:77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>
        <v>1.1000000000000001</v>
      </c>
      <c r="O75" s="22">
        <v>102.32</v>
      </c>
      <c r="P75" s="22">
        <v>2250.7600000000002</v>
      </c>
      <c r="Q75" s="22"/>
      <c r="R75" s="22"/>
      <c r="S75" s="22"/>
      <c r="T75" s="22"/>
      <c r="U75" s="22"/>
      <c r="V75" s="22"/>
      <c r="W75" s="23"/>
      <c r="X75" s="23"/>
      <c r="Y75" s="22"/>
      <c r="Z75" s="22"/>
      <c r="AA75" s="22"/>
      <c r="AB75" s="22"/>
      <c r="AC75" s="22"/>
      <c r="AD75" s="23"/>
      <c r="AE75" s="23"/>
      <c r="AF75" s="23">
        <v>1</v>
      </c>
      <c r="AG75" s="23"/>
      <c r="AH75" s="26"/>
      <c r="AI75" s="22"/>
      <c r="AJ75" s="22"/>
      <c r="AK75" s="22"/>
      <c r="AL75" s="22"/>
      <c r="AM75" s="22"/>
      <c r="AN75" s="22"/>
      <c r="AO75" s="22"/>
      <c r="AP75" s="22"/>
      <c r="AQ75" s="22">
        <v>5</v>
      </c>
      <c r="AR75" s="22"/>
      <c r="AS75" s="22">
        <v>1.0062500000000001</v>
      </c>
      <c r="AT75" s="22">
        <v>2.4779345000000001E-2</v>
      </c>
      <c r="AU75" s="22">
        <v>17.275736000000002</v>
      </c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</row>
    <row r="76" spans="1:77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>
        <v>1.3</v>
      </c>
      <c r="O76" s="22">
        <v>106.81</v>
      </c>
      <c r="P76" s="22">
        <v>2238.5549999999998</v>
      </c>
      <c r="Q76" s="22"/>
      <c r="R76" s="22"/>
      <c r="S76" s="22"/>
      <c r="T76" s="22"/>
      <c r="U76" s="22"/>
      <c r="V76" s="22"/>
      <c r="W76" s="23"/>
      <c r="X76" s="23"/>
      <c r="Y76" s="25"/>
      <c r="Z76" s="32">
        <f>+Z51-2*Z52</f>
        <v>16</v>
      </c>
      <c r="AA76" s="28"/>
      <c r="AB76" s="24"/>
      <c r="AC76" s="25"/>
      <c r="AD76" s="23"/>
      <c r="AE76" s="23"/>
      <c r="AF76" s="23">
        <f>IF(AF75=1,5,12)</f>
        <v>5</v>
      </c>
      <c r="AG76" s="23"/>
      <c r="AH76" s="26"/>
      <c r="AI76" s="22"/>
      <c r="AJ76" s="22"/>
      <c r="AK76" s="22"/>
      <c r="AL76" s="22"/>
      <c r="AM76" s="22"/>
      <c r="AN76" s="22"/>
      <c r="AO76" s="22"/>
      <c r="AP76" s="22"/>
      <c r="AQ76" s="22">
        <v>6</v>
      </c>
      <c r="AR76" s="22"/>
      <c r="AS76" s="22">
        <v>1.0063</v>
      </c>
      <c r="AT76" s="22">
        <v>2.495E-2</v>
      </c>
      <c r="AU76" s="22">
        <v>17.364000000000001</v>
      </c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</row>
    <row r="77" spans="1:77" ht="15.75" x14ac:dyDescent="0.25">
      <c r="A77" s="22"/>
      <c r="B77" s="22"/>
      <c r="C77" s="36"/>
      <c r="D77" s="22"/>
      <c r="E77" s="61">
        <f>+E26</f>
        <v>2</v>
      </c>
      <c r="F77" s="29"/>
      <c r="G77" s="22"/>
      <c r="H77" s="22"/>
      <c r="I77" s="22"/>
      <c r="J77" s="22"/>
      <c r="K77" s="22"/>
      <c r="L77" s="22"/>
      <c r="M77" s="22"/>
      <c r="N77" s="22">
        <v>1.5</v>
      </c>
      <c r="O77" s="22">
        <v>111.3</v>
      </c>
      <c r="P77" s="22">
        <v>2226.35</v>
      </c>
      <c r="Q77" s="22"/>
      <c r="R77" s="22"/>
      <c r="S77" s="22"/>
      <c r="T77" s="22"/>
      <c r="U77" s="22"/>
      <c r="V77" s="22"/>
      <c r="W77" s="23"/>
      <c r="X77" s="23"/>
      <c r="Y77" s="25"/>
      <c r="Z77" s="32">
        <f>+Z51</f>
        <v>19</v>
      </c>
      <c r="AA77" s="28"/>
      <c r="AB77" s="24"/>
      <c r="AC77" s="25"/>
      <c r="AD77" s="23"/>
      <c r="AE77" s="23"/>
      <c r="AF77" s="23">
        <f>IF(AF74&lt;AF76,0,1)</f>
        <v>0</v>
      </c>
      <c r="AG77" s="23"/>
      <c r="AH77" s="26"/>
      <c r="AI77" s="22"/>
      <c r="AJ77" s="22"/>
      <c r="AK77" s="22"/>
      <c r="AL77" s="22"/>
      <c r="AM77" s="22"/>
      <c r="AN77" s="22"/>
      <c r="AO77" s="22"/>
      <c r="AP77" s="22"/>
      <c r="AQ77" s="22">
        <v>7</v>
      </c>
      <c r="AR77" s="22"/>
      <c r="AS77" s="22">
        <v>1.0063499999999999</v>
      </c>
      <c r="AT77" s="22">
        <v>2.5024999999999999E-2</v>
      </c>
      <c r="AU77" s="22">
        <v>17.408000000000001</v>
      </c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</row>
    <row r="78" spans="1:77" x14ac:dyDescent="0.2">
      <c r="A78" s="22"/>
      <c r="B78" s="22"/>
      <c r="C78" s="22"/>
      <c r="D78" s="22"/>
      <c r="E78" s="23"/>
      <c r="F78" s="23"/>
      <c r="G78" s="22"/>
      <c r="H78" s="22"/>
      <c r="I78" s="22"/>
      <c r="J78" s="22"/>
      <c r="K78" s="22"/>
      <c r="L78" s="22"/>
      <c r="M78" s="22"/>
      <c r="N78" s="22">
        <v>1.75</v>
      </c>
      <c r="O78" s="22">
        <v>115.75</v>
      </c>
      <c r="P78" s="22">
        <v>2213.9749999999999</v>
      </c>
      <c r="Q78" s="22"/>
      <c r="R78" s="22"/>
      <c r="S78" s="22"/>
      <c r="T78" s="22"/>
      <c r="U78" s="22"/>
      <c r="V78" s="22"/>
      <c r="W78" s="23"/>
      <c r="X78" s="23"/>
      <c r="Y78" s="25"/>
      <c r="Z78" s="32">
        <f>+Z77+2*0.5</f>
        <v>20</v>
      </c>
      <c r="AA78" s="28"/>
      <c r="AB78" s="24"/>
      <c r="AC78" s="25"/>
      <c r="AD78" s="23"/>
      <c r="AE78" s="23"/>
      <c r="AF78" s="23"/>
      <c r="AG78" s="23"/>
      <c r="AH78" s="23"/>
      <c r="AI78" s="22"/>
      <c r="AJ78" s="22"/>
      <c r="AK78" s="22"/>
      <c r="AL78" s="22"/>
      <c r="AM78" s="22"/>
      <c r="AN78" s="22"/>
      <c r="AO78" s="22"/>
      <c r="AP78" s="22"/>
      <c r="AQ78" s="22">
        <v>8</v>
      </c>
      <c r="AR78" s="22"/>
      <c r="AS78" s="22">
        <v>1.0064</v>
      </c>
      <c r="AT78" s="22">
        <v>2.5100000000000001E-2</v>
      </c>
      <c r="AU78" s="22">
        <v>17.452000000000002</v>
      </c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</row>
    <row r="79" spans="1:77" ht="18" x14ac:dyDescent="0.25">
      <c r="A79" s="23"/>
      <c r="B79" s="22"/>
      <c r="C79" s="36"/>
      <c r="D79" s="22"/>
      <c r="E79" s="62">
        <f>+E35/E30*3600</f>
        <v>163980.43664122678</v>
      </c>
      <c r="F79" s="29"/>
      <c r="G79" s="22"/>
      <c r="H79" s="22"/>
      <c r="I79" s="22"/>
      <c r="J79" s="22"/>
      <c r="K79" s="22"/>
      <c r="L79" s="22"/>
      <c r="M79" s="22"/>
      <c r="N79" s="22">
        <v>2</v>
      </c>
      <c r="O79" s="22">
        <v>120.2</v>
      </c>
      <c r="P79" s="22">
        <v>2201.6</v>
      </c>
      <c r="Q79" s="22"/>
      <c r="R79" s="22"/>
      <c r="S79" s="22"/>
      <c r="T79" s="22"/>
      <c r="U79" s="22"/>
      <c r="V79" s="22"/>
      <c r="W79" s="23"/>
      <c r="X79" s="23"/>
      <c r="Y79" s="25"/>
      <c r="Z79" s="31">
        <f>(25.4/+Z56)</f>
        <v>2.3090909090909091</v>
      </c>
      <c r="AA79" s="28"/>
      <c r="AB79" s="24"/>
      <c r="AC79" s="25"/>
      <c r="AD79" s="23"/>
      <c r="AE79" s="23"/>
      <c r="AF79" s="33"/>
      <c r="AG79" s="33"/>
      <c r="AH79" s="33"/>
      <c r="AI79" s="22"/>
      <c r="AJ79" s="22"/>
      <c r="AK79" s="22"/>
      <c r="AL79" s="22"/>
      <c r="AM79" s="22"/>
      <c r="AN79" s="22"/>
      <c r="AO79" s="22"/>
      <c r="AP79" s="22"/>
      <c r="AQ79" s="22">
        <v>9</v>
      </c>
      <c r="AR79" s="22"/>
      <c r="AS79" s="22">
        <v>1.0064500000000001</v>
      </c>
      <c r="AT79" s="22">
        <v>2.5174999999999999E-2</v>
      </c>
      <c r="AU79" s="22">
        <v>17.496000000000002</v>
      </c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</row>
    <row r="80" spans="1:77" x14ac:dyDescent="0.2">
      <c r="A80" s="2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>
        <v>2.25</v>
      </c>
      <c r="O80" s="22">
        <v>123.8</v>
      </c>
      <c r="P80" s="22">
        <v>2191.35</v>
      </c>
      <c r="Q80" s="22"/>
      <c r="R80" s="22"/>
      <c r="S80" s="22"/>
      <c r="T80" s="22"/>
      <c r="U80" s="22"/>
      <c r="V80" s="22"/>
      <c r="W80" s="23"/>
      <c r="X80" s="23"/>
      <c r="Y80" s="25"/>
      <c r="Z80" s="32">
        <f>+Z78+2*Z53+2</f>
        <v>46</v>
      </c>
      <c r="AA80" s="28"/>
      <c r="AB80" s="24"/>
      <c r="AC80" s="25"/>
      <c r="AD80" s="23"/>
      <c r="AE80" s="23"/>
      <c r="AF80" s="23"/>
      <c r="AG80" s="23"/>
      <c r="AH80" s="23"/>
      <c r="AI80" s="22"/>
      <c r="AJ80" s="22"/>
      <c r="AK80" s="22"/>
      <c r="AL80" s="22"/>
      <c r="AM80" s="22"/>
      <c r="AN80" s="22"/>
      <c r="AO80" s="22"/>
      <c r="AP80" s="22"/>
      <c r="AQ80" s="22">
        <v>10</v>
      </c>
      <c r="AR80" s="22"/>
      <c r="AS80" s="22">
        <v>1.0065</v>
      </c>
      <c r="AT80" s="22">
        <v>2.5154345000000002E-2</v>
      </c>
      <c r="AU80" s="22">
        <v>17.495736000000001</v>
      </c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</row>
    <row r="81" spans="1:77" x14ac:dyDescent="0.2">
      <c r="A81" s="23"/>
      <c r="B81" s="23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v>2.5</v>
      </c>
      <c r="O81" s="22">
        <v>127.4</v>
      </c>
      <c r="P81" s="22">
        <v>2181.1</v>
      </c>
      <c r="Q81" s="22"/>
      <c r="R81" s="22"/>
      <c r="S81" s="22"/>
      <c r="T81" s="22"/>
      <c r="U81" s="22"/>
      <c r="V81" s="22"/>
      <c r="W81" s="23"/>
      <c r="X81" s="23"/>
      <c r="Y81" s="25"/>
      <c r="Z81" s="32">
        <f>0.869565217391304*Z80</f>
        <v>39.999999999999986</v>
      </c>
      <c r="AA81" s="28"/>
      <c r="AB81" s="24"/>
      <c r="AC81" s="25"/>
      <c r="AD81" s="23"/>
      <c r="AE81" s="23"/>
      <c r="AF81" s="23" t="e">
        <f>30+4*4.5*AF51</f>
        <v>#REF!</v>
      </c>
      <c r="AG81" s="23" t="e">
        <f t="shared" ref="AG81:AG101" si="0">AF81/60</f>
        <v>#REF!</v>
      </c>
      <c r="AH81" s="23" t="e">
        <f>AG81*AF69</f>
        <v>#REF!</v>
      </c>
      <c r="AI81" s="22"/>
      <c r="AJ81" s="22"/>
      <c r="AK81" s="22"/>
      <c r="AL81" s="22"/>
      <c r="AM81" s="22"/>
      <c r="AN81" s="22"/>
      <c r="AO81" s="22"/>
      <c r="AP81" s="22"/>
      <c r="AQ81" s="22">
        <v>11</v>
      </c>
      <c r="AR81" s="22"/>
      <c r="AS81" s="22">
        <v>1.0065499999999998</v>
      </c>
      <c r="AT81" s="22">
        <v>2.5325E-2</v>
      </c>
      <c r="AU81" s="22">
        <v>17.584</v>
      </c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</row>
    <row r="82" spans="1:77" x14ac:dyDescent="0.2">
      <c r="A82" s="23"/>
      <c r="B82" s="23"/>
      <c r="C82" s="22"/>
      <c r="D82" s="22"/>
      <c r="E82" s="34">
        <f>+E35*1000</f>
        <v>191993.76123410303</v>
      </c>
      <c r="F82" s="22"/>
      <c r="G82" s="22"/>
      <c r="H82" s="22"/>
      <c r="I82" s="22"/>
      <c r="J82" s="22"/>
      <c r="K82" s="22"/>
      <c r="L82" s="22"/>
      <c r="M82" s="22"/>
      <c r="N82" s="22">
        <v>2.75</v>
      </c>
      <c r="O82" s="22">
        <v>130.44999999999999</v>
      </c>
      <c r="P82" s="22">
        <v>2172.1849999999999</v>
      </c>
      <c r="Q82" s="22"/>
      <c r="R82" s="22"/>
      <c r="S82" s="22"/>
      <c r="T82" s="22"/>
      <c r="U82" s="22"/>
      <c r="V82" s="22"/>
      <c r="W82" s="23"/>
      <c r="X82" s="23"/>
      <c r="Y82" s="22"/>
      <c r="Z82" s="22"/>
      <c r="AA82" s="22"/>
      <c r="AB82" s="24"/>
      <c r="AC82" s="25"/>
      <c r="AD82" s="23"/>
      <c r="AE82" s="23"/>
      <c r="AF82" s="23" t="e">
        <f>15+AF57*4.5</f>
        <v>#REF!</v>
      </c>
      <c r="AG82" s="23" t="e">
        <f t="shared" si="0"/>
        <v>#REF!</v>
      </c>
      <c r="AH82" s="23" t="e">
        <f>AG82*AF69</f>
        <v>#REF!</v>
      </c>
      <c r="AI82" s="22"/>
      <c r="AJ82" s="22"/>
      <c r="AK82" s="22"/>
      <c r="AL82" s="22"/>
      <c r="AM82" s="22"/>
      <c r="AN82" s="22"/>
      <c r="AO82" s="22"/>
      <c r="AP82" s="22"/>
      <c r="AQ82" s="22">
        <v>12</v>
      </c>
      <c r="AR82" s="22"/>
      <c r="AS82" s="22">
        <v>1.0065999999999999</v>
      </c>
      <c r="AT82" s="22">
        <v>2.5399999999999999E-2</v>
      </c>
      <c r="AU82" s="22">
        <v>17.628</v>
      </c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</row>
    <row r="83" spans="1:77" x14ac:dyDescent="0.2">
      <c r="A83" s="23"/>
      <c r="B83" s="25"/>
      <c r="C83" s="22"/>
      <c r="D83" s="22"/>
      <c r="E83" s="35" t="e">
        <f>+Z91</f>
        <v>#REF!</v>
      </c>
      <c r="F83" s="22"/>
      <c r="G83" s="22"/>
      <c r="H83" s="22"/>
      <c r="I83" s="22"/>
      <c r="J83" s="22"/>
      <c r="K83" s="22"/>
      <c r="L83" s="22"/>
      <c r="M83" s="22"/>
      <c r="N83" s="22">
        <v>3</v>
      </c>
      <c r="O83" s="22">
        <v>133.5</v>
      </c>
      <c r="P83" s="22">
        <v>2163.27</v>
      </c>
      <c r="Q83" s="22"/>
      <c r="R83" s="22"/>
      <c r="S83" s="22"/>
      <c r="T83" s="22"/>
      <c r="U83" s="22"/>
      <c r="V83" s="22"/>
      <c r="W83" s="23"/>
      <c r="X83" s="23"/>
      <c r="Y83" s="25"/>
      <c r="Z83" s="31">
        <f>(Z77-Z76)/(2*1000)</f>
        <v>1.5E-3</v>
      </c>
      <c r="AA83" s="28"/>
      <c r="AB83" s="24"/>
      <c r="AC83" s="25"/>
      <c r="AD83" s="23"/>
      <c r="AE83" s="23"/>
      <c r="AF83" s="23" t="e">
        <f>20+IF(AF56&lt;400,1.4,1.4*(0.86+0.14*(#REF!+AF56)*0.5/400))*AF57</f>
        <v>#REF!</v>
      </c>
      <c r="AG83" s="23" t="e">
        <f t="shared" si="0"/>
        <v>#REF!</v>
      </c>
      <c r="AH83" s="23" t="e">
        <f>AG83*AF69</f>
        <v>#REF!</v>
      </c>
      <c r="AI83" s="22"/>
      <c r="AJ83" s="22"/>
      <c r="AK83" s="22"/>
      <c r="AL83" s="22"/>
      <c r="AM83" s="22"/>
      <c r="AN83" s="22"/>
      <c r="AO83" s="22"/>
      <c r="AP83" s="22"/>
      <c r="AQ83" s="22">
        <v>13</v>
      </c>
      <c r="AR83" s="22"/>
      <c r="AS83" s="22">
        <v>1.00665</v>
      </c>
      <c r="AT83" s="22">
        <v>2.5475000000000001E-2</v>
      </c>
      <c r="AU83" s="22">
        <v>17.672000000000001</v>
      </c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</row>
    <row r="84" spans="1:77" x14ac:dyDescent="0.2">
      <c r="A84" s="23"/>
      <c r="B84" s="25"/>
      <c r="C84" s="22"/>
      <c r="D84" s="22"/>
      <c r="E84" s="35">
        <f>+((E26-E13)-(E77-E9))/LN((E26-E13)/(E77-E9))</f>
        <v>-11.19273238833698</v>
      </c>
      <c r="F84" s="22"/>
      <c r="G84" s="22"/>
      <c r="H84" s="22"/>
      <c r="I84" s="22"/>
      <c r="J84" s="22"/>
      <c r="K84" s="22"/>
      <c r="L84" s="22"/>
      <c r="M84" s="22"/>
      <c r="N84" s="22">
        <v>3.5</v>
      </c>
      <c r="O84" s="22">
        <v>138.9</v>
      </c>
      <c r="P84" s="22">
        <v>2147.37</v>
      </c>
      <c r="Q84" s="22"/>
      <c r="R84" s="22"/>
      <c r="S84" s="22"/>
      <c r="T84" s="22"/>
      <c r="U84" s="22"/>
      <c r="V84" s="22"/>
      <c r="W84" s="23"/>
      <c r="X84" s="23"/>
      <c r="Y84" s="22"/>
      <c r="Z84" s="22"/>
      <c r="AA84" s="22"/>
      <c r="AB84" s="24"/>
      <c r="AC84" s="25"/>
      <c r="AD84" s="23"/>
      <c r="AE84" s="23"/>
      <c r="AF84" s="23" t="e">
        <f>0.8*AF57*IF(#REF!&lt;400,5.5,5.5*(0.86+0.14*(#REF!+AF56)*0.5/400))</f>
        <v>#REF!</v>
      </c>
      <c r="AG84" s="23" t="e">
        <f t="shared" si="0"/>
        <v>#REF!</v>
      </c>
      <c r="AH84" s="23" t="e">
        <f>AG84*AF69</f>
        <v>#REF!</v>
      </c>
      <c r="AI84" s="22"/>
      <c r="AJ84" s="22"/>
      <c r="AK84" s="22"/>
      <c r="AL84" s="22"/>
      <c r="AM84" s="22"/>
      <c r="AN84" s="22"/>
      <c r="AO84" s="22"/>
      <c r="AP84" s="22"/>
      <c r="AQ84" s="22">
        <v>14</v>
      </c>
      <c r="AR84" s="22"/>
      <c r="AS84" s="22">
        <v>1.0066999999999999</v>
      </c>
      <c r="AT84" s="22">
        <v>2.555E-2</v>
      </c>
      <c r="AU84" s="22">
        <v>17.716000000000001</v>
      </c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</row>
    <row r="85" spans="1:77" x14ac:dyDescent="0.2">
      <c r="A85" s="23"/>
      <c r="B85" s="25"/>
      <c r="C85" s="22"/>
      <c r="D85" s="22"/>
      <c r="E85" s="35" t="e">
        <f>+E82/(E83*E84)</f>
        <v>#REF!</v>
      </c>
      <c r="F85" s="22"/>
      <c r="G85" s="22"/>
      <c r="H85" s="22"/>
      <c r="I85" s="22"/>
      <c r="J85" s="22"/>
      <c r="K85" s="22"/>
      <c r="L85" s="22"/>
      <c r="M85" s="22"/>
      <c r="N85" s="22">
        <v>4</v>
      </c>
      <c r="O85" s="22">
        <v>143.6</v>
      </c>
      <c r="P85" s="22">
        <v>2132.9299999999998</v>
      </c>
      <c r="Q85" s="22"/>
      <c r="R85" s="22"/>
      <c r="S85" s="22"/>
      <c r="T85" s="22"/>
      <c r="U85" s="22"/>
      <c r="V85" s="22"/>
      <c r="W85" s="23"/>
      <c r="X85" s="23"/>
      <c r="Y85" s="25"/>
      <c r="Z85" s="31">
        <f>(Z78-Z77)/(2*1000)</f>
        <v>5.0000000000000001E-4</v>
      </c>
      <c r="AA85" s="28"/>
      <c r="AB85" s="24"/>
      <c r="AC85" s="25"/>
      <c r="AD85" s="23"/>
      <c r="AE85" s="23"/>
      <c r="AF85" s="23" t="e">
        <f>AF51*40*#REF!/1000</f>
        <v>#REF!</v>
      </c>
      <c r="AG85" s="23" t="e">
        <f t="shared" si="0"/>
        <v>#REF!</v>
      </c>
      <c r="AH85" s="23" t="e">
        <f>AG85*AF69</f>
        <v>#REF!</v>
      </c>
      <c r="AI85" s="22"/>
      <c r="AJ85" s="22"/>
      <c r="AK85" s="22"/>
      <c r="AL85" s="22"/>
      <c r="AM85" s="22"/>
      <c r="AN85" s="22"/>
      <c r="AO85" s="22"/>
      <c r="AP85" s="22"/>
      <c r="AQ85" s="22">
        <v>15</v>
      </c>
      <c r="AR85" s="22"/>
      <c r="AS85" s="22">
        <v>1.0067499999999998</v>
      </c>
      <c r="AT85" s="22">
        <v>2.5529344999999998E-2</v>
      </c>
      <c r="AU85" s="22">
        <v>17.715736</v>
      </c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</row>
    <row r="86" spans="1:77" x14ac:dyDescent="0.2">
      <c r="A86" s="23"/>
      <c r="B86" s="25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>
        <v>4.5</v>
      </c>
      <c r="O86" s="22">
        <v>147.9</v>
      </c>
      <c r="P86" s="22">
        <v>2119.7600000000002</v>
      </c>
      <c r="Q86" s="22"/>
      <c r="R86" s="22"/>
      <c r="S86" s="22"/>
      <c r="T86" s="22"/>
      <c r="U86" s="22"/>
      <c r="V86" s="22"/>
      <c r="W86" s="23"/>
      <c r="X86" s="23"/>
      <c r="Y86" s="25"/>
      <c r="Z86" s="24"/>
      <c r="AA86" s="28"/>
      <c r="AB86" s="24"/>
      <c r="AC86" s="25"/>
      <c r="AD86" s="23"/>
      <c r="AE86" s="23"/>
      <c r="AF86" s="23" t="e">
        <f>AF51*5</f>
        <v>#REF!</v>
      </c>
      <c r="AG86" s="23" t="e">
        <f t="shared" si="0"/>
        <v>#REF!</v>
      </c>
      <c r="AH86" s="23" t="e">
        <f>AG86*AF69</f>
        <v>#REF!</v>
      </c>
      <c r="AI86" s="22"/>
      <c r="AJ86" s="22"/>
      <c r="AK86" s="22"/>
      <c r="AL86" s="22"/>
      <c r="AM86" s="22"/>
      <c r="AN86" s="22"/>
      <c r="AO86" s="22"/>
      <c r="AP86" s="22"/>
      <c r="AQ86" s="22">
        <v>16</v>
      </c>
      <c r="AR86" s="22"/>
      <c r="AS86" s="22">
        <v>1.0067999999999999</v>
      </c>
      <c r="AT86" s="22">
        <v>2.5700000000000001E-2</v>
      </c>
      <c r="AU86" s="22">
        <v>17.804000000000002</v>
      </c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</row>
    <row r="87" spans="1:77" x14ac:dyDescent="0.2">
      <c r="A87" s="23"/>
      <c r="B87" s="25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>
        <v>5</v>
      </c>
      <c r="O87" s="22">
        <v>151.80000000000001</v>
      </c>
      <c r="P87" s="22">
        <v>2107.38</v>
      </c>
      <c r="Q87" s="22"/>
      <c r="R87" s="22"/>
      <c r="S87" s="22"/>
      <c r="T87" s="22"/>
      <c r="U87" s="22"/>
      <c r="V87" s="22"/>
      <c r="W87" s="23"/>
      <c r="X87" s="23"/>
      <c r="Y87" s="25"/>
      <c r="Z87" s="31">
        <f>+(((Z78+2*Z53)^2-Z78^2)*0.000001*PI()/4*2)*1000/Z79+PI()*0.001*Z78</f>
        <v>1.1077206222657554</v>
      </c>
      <c r="AA87" s="28"/>
      <c r="AB87" s="24"/>
      <c r="AC87" s="25"/>
      <c r="AD87" s="23"/>
      <c r="AE87" s="23"/>
      <c r="AF87" s="23" t="e">
        <f>30*AF51</f>
        <v>#REF!</v>
      </c>
      <c r="AG87" s="23" t="e">
        <f t="shared" si="0"/>
        <v>#REF!</v>
      </c>
      <c r="AH87" s="23" t="e">
        <f>AG87*AF69</f>
        <v>#REF!</v>
      </c>
      <c r="AI87" s="22"/>
      <c r="AJ87" s="22"/>
      <c r="AK87" s="22"/>
      <c r="AL87" s="22"/>
      <c r="AM87" s="22"/>
      <c r="AN87" s="22"/>
      <c r="AO87" s="22"/>
      <c r="AP87" s="22"/>
      <c r="AQ87" s="22">
        <v>17</v>
      </c>
      <c r="AR87" s="22"/>
      <c r="AS87" s="22">
        <v>1.00685</v>
      </c>
      <c r="AT87" s="22">
        <v>2.5774999999999999E-2</v>
      </c>
      <c r="AU87" s="22">
        <v>17.847999999999999</v>
      </c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</row>
    <row r="88" spans="1:77" x14ac:dyDescent="0.2">
      <c r="A88" s="23"/>
      <c r="B88" s="25"/>
      <c r="C88" s="22"/>
      <c r="D88" s="22"/>
      <c r="E88" s="22">
        <f>+E17/3600*(286.9*(273.15+E9)/(100000*Z69))</f>
        <v>2.3008924603174599</v>
      </c>
      <c r="F88" s="22"/>
      <c r="G88" s="22"/>
      <c r="H88" s="22"/>
      <c r="I88" s="22"/>
      <c r="J88" s="22"/>
      <c r="K88" s="22"/>
      <c r="L88" s="22"/>
      <c r="M88" s="22"/>
      <c r="N88" s="22">
        <v>5.5</v>
      </c>
      <c r="O88" s="22">
        <v>155.5</v>
      </c>
      <c r="P88" s="22">
        <v>2095.9</v>
      </c>
      <c r="Q88" s="22"/>
      <c r="R88" s="22"/>
      <c r="S88" s="22"/>
      <c r="T88" s="22"/>
      <c r="U88" s="22"/>
      <c r="V88" s="22"/>
      <c r="W88" s="23"/>
      <c r="X88" s="23"/>
      <c r="Y88" s="25"/>
      <c r="Z88" s="24"/>
      <c r="AA88" s="28"/>
      <c r="AB88" s="24"/>
      <c r="AC88" s="25"/>
      <c r="AD88" s="23"/>
      <c r="AE88" s="23"/>
      <c r="AF88" s="23" t="e">
        <f>10*4*AF51</f>
        <v>#REF!</v>
      </c>
      <c r="AG88" s="23" t="e">
        <f t="shared" si="0"/>
        <v>#REF!</v>
      </c>
      <c r="AH88" s="23" t="e">
        <f>AG88*AF69</f>
        <v>#REF!</v>
      </c>
      <c r="AI88" s="22"/>
      <c r="AJ88" s="22"/>
      <c r="AK88" s="22"/>
      <c r="AL88" s="22"/>
      <c r="AM88" s="22"/>
      <c r="AN88" s="22"/>
      <c r="AO88" s="22"/>
      <c r="AP88" s="22"/>
      <c r="AQ88" s="22">
        <v>18</v>
      </c>
      <c r="AR88" s="22"/>
      <c r="AS88" s="22">
        <v>1.0068999999999999</v>
      </c>
      <c r="AT88" s="22">
        <v>2.5849999999999998E-2</v>
      </c>
      <c r="AU88" s="22">
        <v>17.891999999999999</v>
      </c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</row>
    <row r="89" spans="1:77" x14ac:dyDescent="0.2">
      <c r="A89" s="23"/>
      <c r="B89" s="25"/>
      <c r="C89" s="23"/>
      <c r="D89" s="23"/>
      <c r="E89" s="23">
        <f>+E88/Z58</f>
        <v>0.76696415343915325</v>
      </c>
      <c r="F89" s="23"/>
      <c r="G89" s="23"/>
      <c r="H89" s="23"/>
      <c r="I89" s="22"/>
      <c r="J89" s="22"/>
      <c r="K89" s="22"/>
      <c r="L89" s="22"/>
      <c r="M89" s="22"/>
      <c r="N89" s="22">
        <v>6</v>
      </c>
      <c r="O89" s="22">
        <v>158.80000000000001</v>
      </c>
      <c r="P89" s="22">
        <v>2085.08</v>
      </c>
      <c r="Q89" s="22"/>
      <c r="R89" s="22"/>
      <c r="S89" s="22"/>
      <c r="T89" s="22"/>
      <c r="U89" s="22"/>
      <c r="V89" s="22"/>
      <c r="W89" s="23"/>
      <c r="X89" s="23"/>
      <c r="Y89" s="25"/>
      <c r="Z89" s="31" t="e">
        <f>Z150</f>
        <v>#REF!</v>
      </c>
      <c r="AA89" s="28"/>
      <c r="AB89" s="24"/>
      <c r="AC89" s="25"/>
      <c r="AD89" s="23"/>
      <c r="AE89" s="23"/>
      <c r="AF89" s="23">
        <f>6*AF58</f>
        <v>0</v>
      </c>
      <c r="AG89" s="23">
        <f t="shared" si="0"/>
        <v>0</v>
      </c>
      <c r="AH89" s="23">
        <f>AG89*AF69</f>
        <v>0</v>
      </c>
      <c r="AI89" s="22"/>
      <c r="AJ89" s="22"/>
      <c r="AK89" s="22"/>
      <c r="AL89" s="22"/>
      <c r="AM89" s="22"/>
      <c r="AN89" s="22"/>
      <c r="AO89" s="22"/>
      <c r="AP89" s="22"/>
      <c r="AQ89" s="22">
        <v>19</v>
      </c>
      <c r="AR89" s="22"/>
      <c r="AS89" s="22">
        <v>1.0069499999999998</v>
      </c>
      <c r="AT89" s="22">
        <v>2.5925E-2</v>
      </c>
      <c r="AU89" s="22">
        <v>17.936</v>
      </c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</row>
    <row r="90" spans="1:77" x14ac:dyDescent="0.2">
      <c r="A90" s="23"/>
      <c r="B90" s="25"/>
      <c r="C90" s="22"/>
      <c r="D90" s="22"/>
      <c r="E90" s="36">
        <v>1.204</v>
      </c>
      <c r="F90" s="23"/>
      <c r="G90" s="23"/>
      <c r="H90" s="23"/>
      <c r="I90" s="22"/>
      <c r="J90" s="22"/>
      <c r="K90" s="22"/>
      <c r="L90" s="22"/>
      <c r="M90" s="22"/>
      <c r="N90" s="22">
        <v>6.2</v>
      </c>
      <c r="O90" s="22">
        <v>160</v>
      </c>
      <c r="P90" s="22">
        <v>2081.3000000000002</v>
      </c>
      <c r="Q90" s="22"/>
      <c r="R90" s="22"/>
      <c r="S90" s="22"/>
      <c r="T90" s="22"/>
      <c r="U90" s="22"/>
      <c r="V90" s="22"/>
      <c r="W90" s="23"/>
      <c r="X90" s="23"/>
      <c r="Y90" s="25"/>
      <c r="Z90" s="24"/>
      <c r="AA90" s="28"/>
      <c r="AB90" s="24"/>
      <c r="AC90" s="25"/>
      <c r="AD90" s="23"/>
      <c r="AE90" s="23"/>
      <c r="AF90" s="23" t="e">
        <f>120*AF51*#REF!/1000</f>
        <v>#REF!</v>
      </c>
      <c r="AG90" s="23" t="e">
        <f t="shared" si="0"/>
        <v>#REF!</v>
      </c>
      <c r="AH90" s="23" t="e">
        <f>AG90*AF69</f>
        <v>#REF!</v>
      </c>
      <c r="AI90" s="22"/>
      <c r="AJ90" s="22"/>
      <c r="AK90" s="22"/>
      <c r="AL90" s="22"/>
      <c r="AM90" s="22"/>
      <c r="AN90" s="22"/>
      <c r="AO90" s="22"/>
      <c r="AP90" s="22"/>
      <c r="AQ90" s="22">
        <v>20</v>
      </c>
      <c r="AR90" s="22"/>
      <c r="AS90" s="22">
        <v>1.0069999999999999</v>
      </c>
      <c r="AT90" s="22">
        <v>2.5999999999999999E-2</v>
      </c>
      <c r="AU90" s="22">
        <v>17.98</v>
      </c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</row>
    <row r="91" spans="1:77" x14ac:dyDescent="0.2">
      <c r="A91" s="23"/>
      <c r="B91" s="25"/>
      <c r="C91" s="22"/>
      <c r="D91" s="28"/>
      <c r="E91" s="37">
        <f>+(E89/E90)^0.5</f>
        <v>0.79813120254611147</v>
      </c>
      <c r="F91" s="25"/>
      <c r="G91" s="23"/>
      <c r="H91" s="23"/>
      <c r="I91" s="22"/>
      <c r="J91" s="22"/>
      <c r="K91" s="22"/>
      <c r="L91" s="22"/>
      <c r="M91" s="22"/>
      <c r="N91" s="22">
        <v>6.5</v>
      </c>
      <c r="O91" s="22">
        <v>162</v>
      </c>
      <c r="P91" s="22">
        <v>2074.77</v>
      </c>
      <c r="Q91" s="22"/>
      <c r="R91" s="22"/>
      <c r="S91" s="22"/>
      <c r="T91" s="22"/>
      <c r="U91" s="22"/>
      <c r="V91" s="22"/>
      <c r="W91" s="23"/>
      <c r="X91" s="23"/>
      <c r="Y91" s="25"/>
      <c r="Z91" s="25" t="e">
        <f>1/(1/Z89+(Z87*1000)/(PI()*Z76*Z60)+(Z83*Z77)/(Z62*Z76)+(Z78*Z85)/(Z63*Z77)+Z65+Z66*Z87*1000/(PI()*Z76))</f>
        <v>#REF!</v>
      </c>
      <c r="AA91" s="40"/>
      <c r="AB91" s="25"/>
      <c r="AC91" s="25"/>
      <c r="AD91" s="23"/>
      <c r="AE91" s="23"/>
      <c r="AF91" s="23" t="e">
        <f>90+40*AF51*(1+0.2*#REF!/1000)</f>
        <v>#REF!</v>
      </c>
      <c r="AG91" s="23" t="e">
        <f t="shared" si="0"/>
        <v>#REF!</v>
      </c>
      <c r="AH91" s="23" t="e">
        <f>AG91*AF69</f>
        <v>#REF!</v>
      </c>
      <c r="AI91" s="22"/>
      <c r="AJ91" s="22"/>
      <c r="AK91" s="22"/>
      <c r="AL91" s="22"/>
      <c r="AM91" s="22"/>
      <c r="AN91" s="22"/>
      <c r="AO91" s="22"/>
      <c r="AP91" s="22"/>
      <c r="AQ91" s="22">
        <v>21</v>
      </c>
      <c r="AR91" s="22"/>
      <c r="AS91" s="22">
        <v>1.00705</v>
      </c>
      <c r="AT91" s="22">
        <v>2.6074999999999997E-2</v>
      </c>
      <c r="AU91" s="22">
        <v>18.0215</v>
      </c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</row>
    <row r="92" spans="1:77" x14ac:dyDescent="0.2">
      <c r="A92" s="23"/>
      <c r="B92" s="25"/>
      <c r="C92" s="22"/>
      <c r="D92" s="28"/>
      <c r="E92" s="38">
        <f>+E91*1000/Z80</f>
        <v>17.350678316219813</v>
      </c>
      <c r="F92" s="25"/>
      <c r="G92" s="23"/>
      <c r="H92" s="23"/>
      <c r="I92" s="22"/>
      <c r="J92" s="22"/>
      <c r="K92" s="22"/>
      <c r="L92" s="22"/>
      <c r="M92" s="22"/>
      <c r="N92" s="22">
        <v>6.7</v>
      </c>
      <c r="O92" s="22">
        <v>163</v>
      </c>
      <c r="P92" s="22">
        <v>2071.4</v>
      </c>
      <c r="Q92" s="22"/>
      <c r="R92" s="22"/>
      <c r="S92" s="22"/>
      <c r="T92" s="22"/>
      <c r="U92" s="22"/>
      <c r="V92" s="22"/>
      <c r="W92" s="23"/>
      <c r="X92" s="23"/>
      <c r="Y92" s="25"/>
      <c r="Z92" s="25"/>
      <c r="AA92" s="40"/>
      <c r="AB92" s="25"/>
      <c r="AC92" s="25"/>
      <c r="AD92" s="23"/>
      <c r="AE92" s="23"/>
      <c r="AF92" s="23" t="e">
        <f>IF(AF61=1,IF(AF52=1,0,20+50*AF51),0)*(1+0.8*#REF!/1000)</f>
        <v>#REF!</v>
      </c>
      <c r="AG92" s="23" t="e">
        <f t="shared" si="0"/>
        <v>#REF!</v>
      </c>
      <c r="AH92" s="23" t="e">
        <f>AG92*AF69</f>
        <v>#REF!</v>
      </c>
      <c r="AI92" s="22"/>
      <c r="AJ92" s="22"/>
      <c r="AK92" s="22"/>
      <c r="AL92" s="22"/>
      <c r="AM92" s="22"/>
      <c r="AN92" s="22"/>
      <c r="AO92" s="22"/>
      <c r="AP92" s="22"/>
      <c r="AQ92" s="22">
        <v>22</v>
      </c>
      <c r="AR92" s="22"/>
      <c r="AS92" s="22">
        <v>1.0070999999999999</v>
      </c>
      <c r="AT92" s="22">
        <v>2.615E-2</v>
      </c>
      <c r="AU92" s="22">
        <v>18.062999999999999</v>
      </c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</row>
    <row r="93" spans="1:77" x14ac:dyDescent="0.2">
      <c r="A93" s="23"/>
      <c r="B93" s="25"/>
      <c r="C93" s="32"/>
      <c r="D93" s="28"/>
      <c r="E93" s="39">
        <f>+E91*E90</f>
        <v>0.96094996786551823</v>
      </c>
      <c r="F93" s="25"/>
      <c r="G93" s="23"/>
      <c r="H93" s="23"/>
      <c r="I93" s="22"/>
      <c r="J93" s="22"/>
      <c r="K93" s="22"/>
      <c r="L93" s="22"/>
      <c r="M93" s="22"/>
      <c r="N93" s="22">
        <v>7</v>
      </c>
      <c r="O93" s="22">
        <v>165</v>
      </c>
      <c r="P93" s="22">
        <v>2064.94</v>
      </c>
      <c r="Q93" s="22"/>
      <c r="R93" s="22"/>
      <c r="S93" s="22"/>
      <c r="T93" s="22"/>
      <c r="U93" s="22"/>
      <c r="V93" s="22"/>
      <c r="W93" s="23"/>
      <c r="X93" s="23"/>
      <c r="Y93" s="22"/>
      <c r="Z93" s="22"/>
      <c r="AA93" s="22"/>
      <c r="AB93" s="22"/>
      <c r="AC93" s="25"/>
      <c r="AD93" s="23"/>
      <c r="AE93" s="23"/>
      <c r="AF93" s="23" t="e">
        <f>AF92*0.85+IF(AF60=1,(1+AF56/1000*0.4)*120+60,0)</f>
        <v>#REF!</v>
      </c>
      <c r="AG93" s="23" t="e">
        <f t="shared" si="0"/>
        <v>#REF!</v>
      </c>
      <c r="AH93" s="23" t="e">
        <f>AG93*AF69</f>
        <v>#REF!</v>
      </c>
      <c r="AI93" s="22"/>
      <c r="AJ93" s="22"/>
      <c r="AK93" s="22"/>
      <c r="AL93" s="22"/>
      <c r="AM93" s="22"/>
      <c r="AN93" s="22"/>
      <c r="AO93" s="22"/>
      <c r="AP93" s="22"/>
      <c r="AQ93" s="22">
        <v>23</v>
      </c>
      <c r="AR93" s="22"/>
      <c r="AS93" s="22">
        <v>1.00715</v>
      </c>
      <c r="AT93" s="22">
        <v>2.6224999999999998E-2</v>
      </c>
      <c r="AU93" s="22">
        <v>18.104500000000002</v>
      </c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</row>
    <row r="94" spans="1:77" x14ac:dyDescent="0.2">
      <c r="A94" s="23"/>
      <c r="B94" s="25"/>
      <c r="C94" s="32"/>
      <c r="D94" s="28"/>
      <c r="E94" s="41">
        <f>+E93*(E92-0.3333)*Z87</f>
        <v>18.114388231965599</v>
      </c>
      <c r="F94" s="25"/>
      <c r="G94" s="23"/>
      <c r="H94" s="23"/>
      <c r="I94" s="22"/>
      <c r="J94" s="22"/>
      <c r="K94" s="22"/>
      <c r="L94" s="22"/>
      <c r="M94" s="22"/>
      <c r="N94" s="22">
        <v>7.5</v>
      </c>
      <c r="O94" s="22">
        <v>167.8</v>
      </c>
      <c r="P94" s="22">
        <v>2055.5</v>
      </c>
      <c r="Q94" s="22"/>
      <c r="R94" s="22"/>
      <c r="S94" s="22"/>
      <c r="T94" s="22"/>
      <c r="U94" s="22"/>
      <c r="V94" s="22"/>
      <c r="W94" s="23"/>
      <c r="X94" s="23"/>
      <c r="Y94" s="25"/>
      <c r="Z94" s="24"/>
      <c r="AA94" s="28"/>
      <c r="AB94" s="24"/>
      <c r="AC94" s="25"/>
      <c r="AD94" s="23"/>
      <c r="AE94" s="23"/>
      <c r="AF94" s="23" t="e">
        <f>AF91*0.85</f>
        <v>#REF!</v>
      </c>
      <c r="AG94" s="23" t="e">
        <f t="shared" si="0"/>
        <v>#REF!</v>
      </c>
      <c r="AH94" s="23" t="e">
        <f>AG94*AF69</f>
        <v>#REF!</v>
      </c>
      <c r="AI94" s="22"/>
      <c r="AJ94" s="22"/>
      <c r="AK94" s="22"/>
      <c r="AL94" s="22"/>
      <c r="AM94" s="22"/>
      <c r="AN94" s="22"/>
      <c r="AO94" s="22"/>
      <c r="AP94" s="22"/>
      <c r="AQ94" s="22">
        <v>24</v>
      </c>
      <c r="AR94" s="22"/>
      <c r="AS94" s="22">
        <v>1.0071999999999999</v>
      </c>
      <c r="AT94" s="22">
        <v>2.63E-2</v>
      </c>
      <c r="AU94" s="22">
        <v>18.146000000000001</v>
      </c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</row>
    <row r="95" spans="1:77" x14ac:dyDescent="0.2">
      <c r="A95" s="23"/>
      <c r="B95" s="25"/>
      <c r="C95" s="32"/>
      <c r="D95" s="28"/>
      <c r="E95" s="42" t="e">
        <f>1+E85/E94+IF(#REF!=0,0,3)*(0.6+E24/80)</f>
        <v>#REF!</v>
      </c>
      <c r="F95" s="25"/>
      <c r="G95" s="23"/>
      <c r="H95" s="23"/>
      <c r="I95" s="22"/>
      <c r="J95" s="22"/>
      <c r="K95" s="22"/>
      <c r="L95" s="22"/>
      <c r="M95" s="22"/>
      <c r="N95" s="22">
        <v>8</v>
      </c>
      <c r="O95" s="22">
        <v>170.4</v>
      </c>
      <c r="P95" s="22">
        <v>2046.56</v>
      </c>
      <c r="Q95" s="22"/>
      <c r="R95" s="22"/>
      <c r="S95" s="22"/>
      <c r="T95" s="22"/>
      <c r="U95" s="22"/>
      <c r="V95" s="22"/>
      <c r="W95" s="23"/>
      <c r="X95" s="23"/>
      <c r="Y95" s="22"/>
      <c r="Z95" s="22"/>
      <c r="AA95" s="22"/>
      <c r="AB95" s="22"/>
      <c r="AC95" s="25"/>
      <c r="AD95" s="23"/>
      <c r="AE95" s="23"/>
      <c r="AF95" s="23" t="e">
        <f>60+AF52*120*(1+0.7*#REF!/1000)</f>
        <v>#REF!</v>
      </c>
      <c r="AG95" s="23" t="e">
        <f t="shared" si="0"/>
        <v>#REF!</v>
      </c>
      <c r="AH95" s="23" t="e">
        <f>AG95*AF69</f>
        <v>#REF!</v>
      </c>
      <c r="AI95" s="22"/>
      <c r="AJ95" s="22"/>
      <c r="AK95" s="22"/>
      <c r="AL95" s="22"/>
      <c r="AM95" s="22"/>
      <c r="AN95" s="22"/>
      <c r="AO95" s="22"/>
      <c r="AP95" s="22"/>
      <c r="AQ95" s="22">
        <v>25</v>
      </c>
      <c r="AR95" s="22"/>
      <c r="AS95" s="22">
        <v>1.00725</v>
      </c>
      <c r="AT95" s="22">
        <v>2.6374999999999999E-2</v>
      </c>
      <c r="AU95" s="22">
        <v>18.1875</v>
      </c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</row>
    <row r="96" spans="1:77" x14ac:dyDescent="0.2">
      <c r="A96" s="23"/>
      <c r="B96" s="25"/>
      <c r="C96" s="27"/>
      <c r="D96" s="28"/>
      <c r="E96" s="24"/>
      <c r="F96" s="25"/>
      <c r="G96" s="23"/>
      <c r="H96" s="23"/>
      <c r="I96" s="23"/>
      <c r="J96" s="23"/>
      <c r="K96" s="23"/>
      <c r="L96" s="22"/>
      <c r="M96" s="22"/>
      <c r="N96" s="22">
        <v>8.5</v>
      </c>
      <c r="O96" s="22">
        <v>172.9</v>
      </c>
      <c r="P96" s="22">
        <v>2037.87</v>
      </c>
      <c r="Q96" s="22"/>
      <c r="R96" s="22"/>
      <c r="S96" s="22"/>
      <c r="T96" s="22"/>
      <c r="U96" s="22"/>
      <c r="V96" s="22"/>
      <c r="W96" s="23"/>
      <c r="X96" s="23"/>
      <c r="Y96" s="25"/>
      <c r="Z96" s="31">
        <f>286.9*(273.15+Z70)/(100000*Z69)</f>
        <v>0.79416652380952368</v>
      </c>
      <c r="AA96" s="28"/>
      <c r="AB96" s="24"/>
      <c r="AC96" s="25"/>
      <c r="AD96" s="23"/>
      <c r="AE96" s="23"/>
      <c r="AF96" s="23" t="e">
        <f>110+AF52*110</f>
        <v>#REF!</v>
      </c>
      <c r="AG96" s="23" t="e">
        <f t="shared" si="0"/>
        <v>#REF!</v>
      </c>
      <c r="AH96" s="23" t="e">
        <f>AG96*AF69</f>
        <v>#REF!</v>
      </c>
      <c r="AI96" s="22"/>
      <c r="AJ96" s="22"/>
      <c r="AK96" s="22"/>
      <c r="AL96" s="22"/>
      <c r="AM96" s="22"/>
      <c r="AN96" s="22"/>
      <c r="AO96" s="22"/>
      <c r="AP96" s="22"/>
      <c r="AQ96" s="22">
        <v>26</v>
      </c>
      <c r="AR96" s="22"/>
      <c r="AS96" s="22">
        <v>1.0072999999999999</v>
      </c>
      <c r="AT96" s="22">
        <v>2.6449999999999998E-2</v>
      </c>
      <c r="AU96" s="22">
        <v>18.228999999999999</v>
      </c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</row>
    <row r="97" spans="1:77" x14ac:dyDescent="0.2">
      <c r="A97" s="23"/>
      <c r="B97" s="25"/>
      <c r="C97" s="32"/>
      <c r="D97" s="28"/>
      <c r="E97" s="24"/>
      <c r="F97" s="25"/>
      <c r="G97" s="23"/>
      <c r="H97" s="23"/>
      <c r="I97" s="23"/>
      <c r="J97" s="23"/>
      <c r="K97" s="23"/>
      <c r="L97" s="22"/>
      <c r="M97" s="22"/>
      <c r="N97" s="22">
        <v>9</v>
      </c>
      <c r="O97" s="22">
        <v>175.4</v>
      </c>
      <c r="P97" s="22">
        <v>2029.46</v>
      </c>
      <c r="Q97" s="22"/>
      <c r="R97" s="22"/>
      <c r="S97" s="22"/>
      <c r="T97" s="22"/>
      <c r="U97" s="22"/>
      <c r="V97" s="22"/>
      <c r="W97" s="23"/>
      <c r="X97" s="23"/>
      <c r="Y97" s="25"/>
      <c r="Z97" s="24"/>
      <c r="AA97" s="28"/>
      <c r="AB97" s="24"/>
      <c r="AC97" s="25"/>
      <c r="AD97" s="23"/>
      <c r="AE97" s="23"/>
      <c r="AF97" s="23" t="e">
        <f>IF(AF59=1,4.44*60*AF51,0)</f>
        <v>#REF!</v>
      </c>
      <c r="AG97" s="23" t="e">
        <f t="shared" si="0"/>
        <v>#REF!</v>
      </c>
      <c r="AH97" s="23" t="e">
        <f>AG97*AF69</f>
        <v>#REF!</v>
      </c>
      <c r="AI97" s="22"/>
      <c r="AJ97" s="22"/>
      <c r="AK97" s="22"/>
      <c r="AL97" s="22"/>
      <c r="AM97" s="22"/>
      <c r="AN97" s="22"/>
      <c r="AO97" s="22"/>
      <c r="AP97" s="22"/>
      <c r="AQ97" s="22">
        <v>27</v>
      </c>
      <c r="AR97" s="22"/>
      <c r="AS97" s="22">
        <v>1.00735</v>
      </c>
      <c r="AT97" s="22">
        <v>2.6525E-2</v>
      </c>
      <c r="AU97" s="22">
        <v>18.270499999999998</v>
      </c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</row>
    <row r="98" spans="1:77" x14ac:dyDescent="0.2">
      <c r="A98" s="23"/>
      <c r="B98" s="25"/>
      <c r="C98" s="31"/>
      <c r="D98" s="28"/>
      <c r="E98" s="43" t="e">
        <f>550/11.2*E95</f>
        <v>#REF!</v>
      </c>
      <c r="F98" s="25"/>
      <c r="G98" s="23"/>
      <c r="H98" s="23"/>
      <c r="I98" s="23"/>
      <c r="J98" s="23"/>
      <c r="K98" s="23"/>
      <c r="L98" s="23"/>
      <c r="M98" s="22"/>
      <c r="N98" s="22">
        <v>9.5</v>
      </c>
      <c r="O98" s="22">
        <v>177.7</v>
      </c>
      <c r="P98" s="22">
        <v>2021.38</v>
      </c>
      <c r="Q98" s="22"/>
      <c r="R98" s="22"/>
      <c r="S98" s="22"/>
      <c r="T98" s="22"/>
      <c r="U98" s="22"/>
      <c r="V98" s="22"/>
      <c r="W98" s="23"/>
      <c r="X98" s="23"/>
      <c r="Y98" s="25"/>
      <c r="Z98" s="44">
        <f>Z58</f>
        <v>3</v>
      </c>
      <c r="AA98" s="28"/>
      <c r="AB98" s="24"/>
      <c r="AC98" s="25"/>
      <c r="AD98" s="23"/>
      <c r="AE98" s="23"/>
      <c r="AF98" s="23" t="e">
        <f>IF(AF62=1,360+180*AF52+75*#REF!/1000+120*AF51,0)</f>
        <v>#REF!</v>
      </c>
      <c r="AG98" s="23" t="e">
        <f t="shared" si="0"/>
        <v>#REF!</v>
      </c>
      <c r="AH98" s="23" t="e">
        <f>AG98*AF69</f>
        <v>#REF!</v>
      </c>
      <c r="AI98" s="22"/>
      <c r="AJ98" s="22"/>
      <c r="AK98" s="22"/>
      <c r="AL98" s="22"/>
      <c r="AM98" s="22"/>
      <c r="AN98" s="22"/>
      <c r="AO98" s="22"/>
      <c r="AP98" s="22"/>
      <c r="AQ98" s="22">
        <v>28</v>
      </c>
      <c r="AR98" s="22"/>
      <c r="AS98" s="22">
        <v>1.0073999999999999</v>
      </c>
      <c r="AT98" s="22">
        <v>2.6599999999999999E-2</v>
      </c>
      <c r="AU98" s="22">
        <v>18.312000000000001</v>
      </c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</row>
    <row r="99" spans="1:77" ht="15" x14ac:dyDescent="0.2">
      <c r="A99" s="23"/>
      <c r="B99" s="25"/>
      <c r="C99" s="22"/>
      <c r="D99" s="22"/>
      <c r="E99" s="22"/>
      <c r="F99" s="74"/>
      <c r="G99" s="74">
        <f>H122/G100/3600</f>
        <v>2.3342670401493932</v>
      </c>
      <c r="H99" s="74"/>
      <c r="I99" s="74"/>
      <c r="J99" s="74"/>
      <c r="K99" s="73"/>
      <c r="L99" s="23"/>
      <c r="M99" s="22"/>
      <c r="N99" s="22">
        <v>10</v>
      </c>
      <c r="O99" s="22">
        <v>179.9</v>
      </c>
      <c r="P99" s="22">
        <v>2013.59</v>
      </c>
      <c r="Q99" s="22"/>
      <c r="R99" s="22"/>
      <c r="S99" s="22"/>
      <c r="T99" s="22"/>
      <c r="U99" s="22"/>
      <c r="V99" s="22"/>
      <c r="W99" s="23"/>
      <c r="X99" s="23"/>
      <c r="Y99" s="25"/>
      <c r="Z99" s="24"/>
      <c r="AA99" s="28"/>
      <c r="AB99" s="24"/>
      <c r="AC99" s="25"/>
      <c r="AD99" s="23"/>
      <c r="AE99" s="23"/>
      <c r="AF99" s="23" t="e">
        <f>IF(AF64=1,AF95*1.5,0)</f>
        <v>#REF!</v>
      </c>
      <c r="AG99" s="23" t="e">
        <f t="shared" si="0"/>
        <v>#REF!</v>
      </c>
      <c r="AH99" s="23" t="e">
        <f>AG99*AF69</f>
        <v>#REF!</v>
      </c>
      <c r="AI99" s="22"/>
      <c r="AJ99" s="22"/>
      <c r="AK99" s="22"/>
      <c r="AL99" s="22"/>
      <c r="AM99" s="22"/>
      <c r="AN99" s="22"/>
      <c r="AO99" s="22"/>
      <c r="AP99" s="22"/>
      <c r="AQ99" s="22">
        <v>29</v>
      </c>
      <c r="AR99" s="22"/>
      <c r="AS99" s="22">
        <v>1.00745</v>
      </c>
      <c r="AT99" s="22">
        <v>2.6675000000000001E-2</v>
      </c>
      <c r="AU99" s="22">
        <v>18.3535</v>
      </c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</row>
    <row r="100" spans="1:77" ht="15" x14ac:dyDescent="0.2">
      <c r="A100" s="23"/>
      <c r="B100" s="25"/>
      <c r="C100" s="22"/>
      <c r="D100" s="22"/>
      <c r="E100" s="22"/>
      <c r="F100" s="74"/>
      <c r="G100" s="74">
        <v>1.19</v>
      </c>
      <c r="H100" s="77"/>
      <c r="I100" s="77"/>
      <c r="J100" s="78"/>
      <c r="K100" s="73"/>
      <c r="L100" s="23"/>
      <c r="M100" s="22"/>
      <c r="N100" s="22">
        <v>10.5</v>
      </c>
      <c r="O100" s="22">
        <v>182</v>
      </c>
      <c r="P100" s="22">
        <v>2006.4</v>
      </c>
      <c r="Q100" s="22"/>
      <c r="R100" s="22"/>
      <c r="S100" s="22"/>
      <c r="T100" s="22"/>
      <c r="U100" s="22"/>
      <c r="V100" s="22"/>
      <c r="W100" s="23"/>
      <c r="X100" s="23"/>
      <c r="Y100" s="25"/>
      <c r="Z100" s="44">
        <f>Z98/Z96</f>
        <v>3.7775452755290564</v>
      </c>
      <c r="AA100" s="28"/>
      <c r="AB100" s="24"/>
      <c r="AC100" s="25"/>
      <c r="AD100" s="23"/>
      <c r="AE100" s="23"/>
      <c r="AF100" s="23" t="e">
        <f>IF(AF63=1,180+AF52*2*60*(1+#REF!/1000*0.5),0)</f>
        <v>#REF!</v>
      </c>
      <c r="AG100" s="23" t="e">
        <f t="shared" si="0"/>
        <v>#REF!</v>
      </c>
      <c r="AH100" s="23" t="e">
        <f>AG100*AF69</f>
        <v>#REF!</v>
      </c>
      <c r="AI100" s="22"/>
      <c r="AJ100" s="22"/>
      <c r="AK100" s="22"/>
      <c r="AL100" s="22"/>
      <c r="AM100" s="22"/>
      <c r="AN100" s="22"/>
      <c r="AO100" s="22"/>
      <c r="AP100" s="22"/>
      <c r="AQ100" s="22">
        <v>30</v>
      </c>
      <c r="AR100" s="22"/>
      <c r="AS100" s="22">
        <v>1.0075000000000001</v>
      </c>
      <c r="AT100" s="22">
        <v>2.6749999999999999E-2</v>
      </c>
      <c r="AU100" s="22">
        <v>18.395</v>
      </c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</row>
    <row r="101" spans="1:77" ht="15" x14ac:dyDescent="0.2">
      <c r="A101" s="23"/>
      <c r="B101" s="25"/>
      <c r="C101" s="22"/>
      <c r="D101" s="22"/>
      <c r="E101" s="22"/>
      <c r="F101" s="74"/>
      <c r="G101" s="74">
        <v>2.44</v>
      </c>
      <c r="H101" s="77"/>
      <c r="I101" s="77"/>
      <c r="J101" s="78"/>
      <c r="K101" s="73"/>
      <c r="L101" s="23"/>
      <c r="M101" s="22"/>
      <c r="N101" s="22">
        <v>11</v>
      </c>
      <c r="O101" s="22">
        <v>184.1</v>
      </c>
      <c r="P101" s="22">
        <v>1998.58</v>
      </c>
      <c r="Q101" s="22"/>
      <c r="R101" s="22"/>
      <c r="S101" s="22"/>
      <c r="T101" s="22"/>
      <c r="U101" s="22"/>
      <c r="V101" s="22"/>
      <c r="W101" s="23"/>
      <c r="X101" s="23"/>
      <c r="Y101" s="25"/>
      <c r="Z101" s="44"/>
      <c r="AA101" s="28"/>
      <c r="AB101" s="24"/>
      <c r="AC101" s="25"/>
      <c r="AD101" s="23"/>
      <c r="AE101" s="23"/>
      <c r="AF101" s="23" t="e">
        <f>AF52*2*30</f>
        <v>#REF!</v>
      </c>
      <c r="AG101" s="23" t="e">
        <f t="shared" si="0"/>
        <v>#REF!</v>
      </c>
      <c r="AH101" s="23" t="e">
        <f>AG101*AF69</f>
        <v>#REF!</v>
      </c>
      <c r="AI101" s="22"/>
      <c r="AJ101" s="22"/>
      <c r="AK101" s="22"/>
      <c r="AL101" s="22"/>
      <c r="AM101" s="22"/>
      <c r="AN101" s="22"/>
      <c r="AO101" s="22"/>
      <c r="AP101" s="22"/>
      <c r="AQ101" s="22">
        <v>31</v>
      </c>
      <c r="AR101" s="22"/>
      <c r="AS101" s="22">
        <v>1.0075499999999999</v>
      </c>
      <c r="AT101" s="22">
        <v>2.6824999999999998E-2</v>
      </c>
      <c r="AU101" s="22">
        <v>18.436499999999999</v>
      </c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</row>
    <row r="102" spans="1:77" ht="15" x14ac:dyDescent="0.2">
      <c r="A102" s="23"/>
      <c r="B102" s="25"/>
      <c r="C102" s="22"/>
      <c r="D102" s="22"/>
      <c r="E102" s="22"/>
      <c r="F102" s="74"/>
      <c r="G102" s="74">
        <f>G99/G101</f>
        <v>0.95666681973335788</v>
      </c>
      <c r="H102" s="77"/>
      <c r="I102" s="77"/>
      <c r="J102" s="78"/>
      <c r="K102" s="73"/>
      <c r="L102" s="23"/>
      <c r="M102" s="22"/>
      <c r="N102" s="22">
        <v>11.5</v>
      </c>
      <c r="O102" s="22">
        <v>186</v>
      </c>
      <c r="P102" s="22">
        <v>1991.3</v>
      </c>
      <c r="Q102" s="22"/>
      <c r="R102" s="22"/>
      <c r="S102" s="22"/>
      <c r="T102" s="22"/>
      <c r="U102" s="22"/>
      <c r="V102" s="22"/>
      <c r="W102" s="23"/>
      <c r="X102" s="23"/>
      <c r="Y102" s="25"/>
      <c r="Z102" s="45" t="s">
        <v>14</v>
      </c>
      <c r="AA102" s="28" t="s">
        <v>14</v>
      </c>
      <c r="AB102" s="24"/>
      <c r="AC102" s="25"/>
      <c r="AD102" s="23"/>
      <c r="AE102" s="23"/>
      <c r="AF102" s="23"/>
      <c r="AG102" s="23"/>
      <c r="AH102" s="23"/>
      <c r="AI102" s="22"/>
      <c r="AJ102" s="22"/>
      <c r="AK102" s="22"/>
      <c r="AL102" s="22"/>
      <c r="AM102" s="22"/>
      <c r="AN102" s="22"/>
      <c r="AO102" s="22"/>
      <c r="AP102" s="22"/>
      <c r="AQ102" s="22">
        <v>32</v>
      </c>
      <c r="AR102" s="22"/>
      <c r="AS102" s="22">
        <v>1.0076000000000001</v>
      </c>
      <c r="AT102" s="22">
        <v>2.69E-2</v>
      </c>
      <c r="AU102" s="22">
        <v>18.477999999999998</v>
      </c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</row>
    <row r="103" spans="1:77" ht="15" x14ac:dyDescent="0.2">
      <c r="A103" s="23"/>
      <c r="B103" s="25"/>
      <c r="C103" s="22"/>
      <c r="D103" s="22"/>
      <c r="E103" s="22"/>
      <c r="F103" s="74"/>
      <c r="G103" s="74"/>
      <c r="H103" s="74"/>
      <c r="I103" s="74"/>
      <c r="J103" s="74"/>
      <c r="K103" s="73"/>
      <c r="L103" s="23"/>
      <c r="M103" s="22"/>
      <c r="N103" s="22">
        <v>11.7</v>
      </c>
      <c r="O103" s="22">
        <v>187</v>
      </c>
      <c r="P103" s="22">
        <v>1988.48</v>
      </c>
      <c r="Q103" s="22"/>
      <c r="R103" s="22"/>
      <c r="S103" s="22"/>
      <c r="T103" s="22"/>
      <c r="U103" s="22"/>
      <c r="V103" s="22"/>
      <c r="W103" s="23"/>
      <c r="X103" s="23"/>
      <c r="Y103" s="25"/>
      <c r="Z103" s="45" t="s">
        <v>14</v>
      </c>
      <c r="AA103" s="28" t="s">
        <v>14</v>
      </c>
      <c r="AB103" s="24"/>
      <c r="AC103" s="25"/>
      <c r="AD103" s="23"/>
      <c r="AE103" s="23"/>
      <c r="AF103" s="23"/>
      <c r="AG103" s="23" t="e">
        <f>SUM(AG81:AG102)</f>
        <v>#REF!</v>
      </c>
      <c r="AH103" s="23" t="e">
        <f>SUM(AH80:AH102)</f>
        <v>#REF!</v>
      </c>
      <c r="AI103" s="22"/>
      <c r="AJ103" s="22"/>
      <c r="AK103" s="22"/>
      <c r="AL103" s="22"/>
      <c r="AM103" s="22"/>
      <c r="AN103" s="22"/>
      <c r="AO103" s="22"/>
      <c r="AP103" s="22"/>
      <c r="AQ103" s="22">
        <v>33</v>
      </c>
      <c r="AR103" s="22"/>
      <c r="AS103" s="22">
        <v>1.0076499999999999</v>
      </c>
      <c r="AT103" s="22">
        <v>2.6974999999999999E-2</v>
      </c>
      <c r="AU103" s="22">
        <v>18.519500000000001</v>
      </c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</row>
    <row r="104" spans="1:77" ht="15" x14ac:dyDescent="0.2">
      <c r="A104" s="23"/>
      <c r="B104" s="25"/>
      <c r="C104" s="22"/>
      <c r="D104" s="22"/>
      <c r="E104" s="22"/>
      <c r="F104" s="74"/>
      <c r="G104" s="79">
        <v>3</v>
      </c>
      <c r="H104" s="77"/>
      <c r="I104" s="77"/>
      <c r="J104" s="78"/>
      <c r="K104" s="73"/>
      <c r="L104" s="23"/>
      <c r="M104" s="22"/>
      <c r="N104" s="22">
        <v>12</v>
      </c>
      <c r="O104" s="22">
        <v>188</v>
      </c>
      <c r="P104" s="22">
        <v>1984.27</v>
      </c>
      <c r="Q104" s="22"/>
      <c r="R104" s="22"/>
      <c r="S104" s="22"/>
      <c r="T104" s="22"/>
      <c r="U104" s="22"/>
      <c r="V104" s="22"/>
      <c r="W104" s="23"/>
      <c r="X104" s="23"/>
      <c r="Y104" s="25"/>
      <c r="Z104" s="25"/>
      <c r="AA104" s="40"/>
      <c r="AB104" s="25"/>
      <c r="AC104" s="25"/>
      <c r="AD104" s="23"/>
      <c r="AE104" s="23"/>
      <c r="AF104" s="23"/>
      <c r="AG104" s="23"/>
      <c r="AH104" s="23"/>
      <c r="AI104" s="22"/>
      <c r="AJ104" s="22"/>
      <c r="AK104" s="22"/>
      <c r="AL104" s="22"/>
      <c r="AM104" s="22"/>
      <c r="AN104" s="22"/>
      <c r="AO104" s="22"/>
      <c r="AP104" s="22"/>
      <c r="AQ104" s="22">
        <v>34</v>
      </c>
      <c r="AR104" s="22"/>
      <c r="AS104" s="22">
        <v>1.0077</v>
      </c>
      <c r="AT104" s="22">
        <v>2.7050000000000001E-2</v>
      </c>
      <c r="AU104" s="22">
        <v>18.561</v>
      </c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</row>
    <row r="105" spans="1:77" ht="15" x14ac:dyDescent="0.2">
      <c r="A105" s="23"/>
      <c r="B105" s="25"/>
      <c r="C105" s="22"/>
      <c r="D105" s="22"/>
      <c r="E105" s="22"/>
      <c r="F105" s="74"/>
      <c r="G105" s="74"/>
      <c r="H105" s="78"/>
      <c r="I105" s="77"/>
      <c r="J105" s="78"/>
      <c r="K105" s="73"/>
      <c r="L105" s="23"/>
      <c r="M105" s="22"/>
      <c r="N105" s="22">
        <v>12.2</v>
      </c>
      <c r="O105" s="22">
        <v>188.7</v>
      </c>
      <c r="P105" s="22">
        <v>1981.57</v>
      </c>
      <c r="Q105" s="22"/>
      <c r="R105" s="22"/>
      <c r="S105" s="22"/>
      <c r="T105" s="22"/>
      <c r="U105" s="22"/>
      <c r="V105" s="22"/>
      <c r="W105" s="23"/>
      <c r="X105" s="23"/>
      <c r="Y105" s="25"/>
      <c r="Z105" s="25"/>
      <c r="AA105" s="40"/>
      <c r="AB105" s="25"/>
      <c r="AC105" s="25"/>
      <c r="AD105" s="23"/>
      <c r="AE105" s="23"/>
      <c r="AF105" s="23"/>
      <c r="AG105" s="23"/>
      <c r="AH105" s="23"/>
      <c r="AI105" s="22"/>
      <c r="AJ105" s="22"/>
      <c r="AK105" s="22"/>
      <c r="AL105" s="22"/>
      <c r="AM105" s="22"/>
      <c r="AN105" s="22"/>
      <c r="AO105" s="22"/>
      <c r="AP105" s="22"/>
      <c r="AQ105" s="22">
        <v>35</v>
      </c>
      <c r="AR105" s="22"/>
      <c r="AS105" s="22">
        <v>1.0077499999999999</v>
      </c>
      <c r="AT105" s="22">
        <v>2.7125E-2</v>
      </c>
      <c r="AU105" s="22">
        <v>18.602499999999999</v>
      </c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</row>
    <row r="106" spans="1:77" ht="15.75" x14ac:dyDescent="0.25">
      <c r="A106" s="23"/>
      <c r="B106" s="25"/>
      <c r="C106" s="22"/>
      <c r="D106" s="61">
        <f>IF(E77&gt;0,+E77*1.8+32,"Impossible")</f>
        <v>35.6</v>
      </c>
      <c r="E106" s="36"/>
      <c r="F106" s="74"/>
      <c r="G106" s="74">
        <v>999.8</v>
      </c>
      <c r="H106" s="78"/>
      <c r="I106" s="77"/>
      <c r="J106" s="78"/>
      <c r="K106" s="73"/>
      <c r="L106" s="23"/>
      <c r="M106" s="22"/>
      <c r="N106" s="22">
        <v>13</v>
      </c>
      <c r="O106" s="22">
        <v>191.6</v>
      </c>
      <c r="P106" s="22">
        <v>1970.7</v>
      </c>
      <c r="Q106" s="22"/>
      <c r="R106" s="22"/>
      <c r="S106" s="22"/>
      <c r="T106" s="22"/>
      <c r="U106" s="22"/>
      <c r="V106" s="22"/>
      <c r="W106" s="23"/>
      <c r="X106" s="23"/>
      <c r="Y106" s="25"/>
      <c r="Z106" s="32">
        <f>Z78</f>
        <v>20</v>
      </c>
      <c r="AA106" s="28"/>
      <c r="AB106" s="24"/>
      <c r="AC106" s="25"/>
      <c r="AD106" s="23"/>
      <c r="AE106" s="23"/>
      <c r="AF106" s="23"/>
      <c r="AG106" s="23"/>
      <c r="AH106" s="23"/>
      <c r="AI106" s="22"/>
      <c r="AJ106" s="22"/>
      <c r="AK106" s="22"/>
      <c r="AL106" s="22"/>
      <c r="AM106" s="22"/>
      <c r="AN106" s="22"/>
      <c r="AO106" s="22"/>
      <c r="AP106" s="22"/>
      <c r="AQ106" s="22">
        <v>36</v>
      </c>
      <c r="AR106" s="22"/>
      <c r="AS106" s="22">
        <v>1.0078</v>
      </c>
      <c r="AT106" s="22">
        <v>2.7199999999999998E-2</v>
      </c>
      <c r="AU106" s="22">
        <v>18.643999999999998</v>
      </c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</row>
    <row r="107" spans="1:77" ht="18" x14ac:dyDescent="0.25">
      <c r="A107" s="23"/>
      <c r="B107" s="25"/>
      <c r="C107" s="22"/>
      <c r="D107" s="23"/>
      <c r="E107" s="22"/>
      <c r="F107" s="78"/>
      <c r="G107" s="78"/>
      <c r="H107" s="78"/>
      <c r="I107" s="77"/>
      <c r="J107" s="78"/>
      <c r="K107" s="73"/>
      <c r="L107" s="23"/>
      <c r="M107" s="22"/>
      <c r="N107" s="22">
        <v>13.5</v>
      </c>
      <c r="O107" s="22">
        <v>193.3</v>
      </c>
      <c r="P107" s="22">
        <v>1964.1</v>
      </c>
      <c r="Q107" s="22"/>
      <c r="R107" s="22"/>
      <c r="S107" s="22"/>
      <c r="T107" s="22"/>
      <c r="U107" s="22"/>
      <c r="V107" s="22"/>
      <c r="W107" s="23"/>
      <c r="X107" s="23"/>
      <c r="Y107" s="25"/>
      <c r="Z107" s="24"/>
      <c r="AA107" s="28"/>
      <c r="AB107" s="24"/>
      <c r="AC107" s="25"/>
      <c r="AD107" s="23"/>
      <c r="AE107" s="33"/>
      <c r="AF107" s="23"/>
      <c r="AG107" s="23"/>
      <c r="AH107" s="23"/>
      <c r="AI107" s="22"/>
      <c r="AJ107" s="22"/>
      <c r="AK107" s="22"/>
      <c r="AL107" s="22"/>
      <c r="AM107" s="22"/>
      <c r="AN107" s="22"/>
      <c r="AO107" s="22"/>
      <c r="AP107" s="22"/>
      <c r="AQ107" s="22">
        <v>37</v>
      </c>
      <c r="AR107" s="22"/>
      <c r="AS107" s="22">
        <v>1.0078499999999999</v>
      </c>
      <c r="AT107" s="22">
        <v>2.7275000000000001E-2</v>
      </c>
      <c r="AU107" s="22">
        <v>18.685499999999998</v>
      </c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</row>
    <row r="108" spans="1:77" ht="15.75" x14ac:dyDescent="0.25">
      <c r="A108" s="23"/>
      <c r="B108" s="25"/>
      <c r="C108" s="22"/>
      <c r="D108" s="62">
        <f>+E79*2.205</f>
        <v>361576.86279390508</v>
      </c>
      <c r="E108" s="36"/>
      <c r="F108" s="74"/>
      <c r="G108" s="74">
        <f>H125-H128</f>
        <v>18</v>
      </c>
      <c r="H108" s="78"/>
      <c r="I108" s="77"/>
      <c r="J108" s="78"/>
      <c r="K108" s="73"/>
      <c r="L108" s="23"/>
      <c r="M108" s="22"/>
      <c r="N108" s="22">
        <v>14</v>
      </c>
      <c r="O108" s="22">
        <v>195</v>
      </c>
      <c r="P108" s="22">
        <v>1957.73</v>
      </c>
      <c r="Q108" s="22"/>
      <c r="R108" s="22"/>
      <c r="S108" s="22"/>
      <c r="T108" s="22"/>
      <c r="U108" s="22"/>
      <c r="V108" s="22"/>
      <c r="W108" s="23"/>
      <c r="X108" s="23"/>
      <c r="Y108" s="25"/>
      <c r="Z108" s="24"/>
      <c r="AA108" s="28"/>
      <c r="AB108" s="24"/>
      <c r="AC108" s="25"/>
      <c r="AD108" s="23"/>
      <c r="AE108" s="23"/>
      <c r="AF108" s="23"/>
      <c r="AG108" s="23"/>
      <c r="AH108" s="23"/>
      <c r="AI108" s="22"/>
      <c r="AJ108" s="22"/>
      <c r="AK108" s="22"/>
      <c r="AL108" s="22"/>
      <c r="AM108" s="22"/>
      <c r="AN108" s="22"/>
      <c r="AO108" s="22"/>
      <c r="AP108" s="22"/>
      <c r="AQ108" s="22">
        <v>38</v>
      </c>
      <c r="AR108" s="22"/>
      <c r="AS108" s="22">
        <v>1.0079</v>
      </c>
      <c r="AT108" s="22">
        <v>2.7349999999999999E-2</v>
      </c>
      <c r="AU108" s="22">
        <v>18.727</v>
      </c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</row>
    <row r="109" spans="1:77" ht="15" x14ac:dyDescent="0.2">
      <c r="A109" s="23"/>
      <c r="B109" s="25"/>
      <c r="C109" s="22"/>
      <c r="D109" s="22"/>
      <c r="E109" s="22"/>
      <c r="F109" s="74"/>
      <c r="G109" s="78"/>
      <c r="H109" s="78"/>
      <c r="I109" s="77"/>
      <c r="J109" s="78"/>
      <c r="K109" s="73"/>
      <c r="L109" s="23"/>
      <c r="M109" s="22"/>
      <c r="N109" s="22">
        <v>14.5</v>
      </c>
      <c r="O109" s="22">
        <v>196.8</v>
      </c>
      <c r="P109" s="22">
        <v>1951.6</v>
      </c>
      <c r="Q109" s="22"/>
      <c r="R109" s="22"/>
      <c r="S109" s="22"/>
      <c r="T109" s="22"/>
      <c r="U109" s="22"/>
      <c r="V109" s="22"/>
      <c r="W109" s="23"/>
      <c r="X109" s="23"/>
      <c r="Y109" s="25"/>
      <c r="Z109" s="32">
        <f>Z53</f>
        <v>12</v>
      </c>
      <c r="AA109" s="28"/>
      <c r="AB109" s="24"/>
      <c r="AC109" s="25"/>
      <c r="AD109" s="23"/>
      <c r="AE109" s="23"/>
      <c r="AF109" s="23"/>
      <c r="AG109" s="23"/>
      <c r="AH109" s="23"/>
      <c r="AI109" s="22"/>
      <c r="AJ109" s="22"/>
      <c r="AK109" s="22"/>
      <c r="AL109" s="22"/>
      <c r="AM109" s="22"/>
      <c r="AN109" s="22"/>
      <c r="AO109" s="22"/>
      <c r="AP109" s="22"/>
      <c r="AQ109" s="22">
        <v>39</v>
      </c>
      <c r="AR109" s="22"/>
      <c r="AS109" s="22">
        <v>1.0079499999999999</v>
      </c>
      <c r="AT109" s="22">
        <v>2.7425000000000001E-2</v>
      </c>
      <c r="AU109" s="22">
        <v>18.7685</v>
      </c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</row>
    <row r="110" spans="1:77" ht="15" x14ac:dyDescent="0.2">
      <c r="A110" s="23"/>
      <c r="B110" s="25"/>
      <c r="C110" s="22"/>
      <c r="D110" s="22"/>
      <c r="E110" s="22"/>
      <c r="F110" s="74"/>
      <c r="G110" s="74">
        <f>H127-H124</f>
        <v>-25</v>
      </c>
      <c r="H110" s="74"/>
      <c r="I110" s="77"/>
      <c r="J110" s="78"/>
      <c r="K110" s="73"/>
      <c r="L110" s="23"/>
      <c r="M110" s="22"/>
      <c r="N110" s="22">
        <v>15</v>
      </c>
      <c r="O110" s="22">
        <v>198.3</v>
      </c>
      <c r="P110" s="22">
        <v>1945.24</v>
      </c>
      <c r="Q110" s="22"/>
      <c r="R110" s="22"/>
      <c r="S110" s="22"/>
      <c r="T110" s="22"/>
      <c r="U110" s="22"/>
      <c r="V110" s="22"/>
      <c r="W110" s="23"/>
      <c r="X110" s="23"/>
      <c r="Y110" s="25"/>
      <c r="Z110" s="32" t="e">
        <f>#REF!</f>
        <v>#REF!</v>
      </c>
      <c r="AA110" s="28"/>
      <c r="AB110" s="24"/>
      <c r="AC110" s="25"/>
      <c r="AD110" s="23"/>
      <c r="AE110" s="23"/>
      <c r="AF110" s="23"/>
      <c r="AG110" s="23"/>
      <c r="AH110" s="23"/>
      <c r="AI110" s="22"/>
      <c r="AJ110" s="22"/>
      <c r="AK110" s="22"/>
      <c r="AL110" s="22"/>
      <c r="AM110" s="22"/>
      <c r="AN110" s="22"/>
      <c r="AO110" s="22"/>
      <c r="AP110" s="22"/>
      <c r="AQ110" s="22">
        <v>40</v>
      </c>
      <c r="AR110" s="22"/>
      <c r="AS110" s="22">
        <v>1.008</v>
      </c>
      <c r="AT110" s="22">
        <v>2.75E-2</v>
      </c>
      <c r="AU110" s="22">
        <v>18.809999999999999</v>
      </c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</row>
    <row r="111" spans="1:77" ht="15" x14ac:dyDescent="0.2">
      <c r="A111" s="23"/>
      <c r="B111" s="25"/>
      <c r="C111" s="22"/>
      <c r="D111" s="22"/>
      <c r="E111" s="22"/>
      <c r="F111" s="74"/>
      <c r="G111" s="78"/>
      <c r="H111" s="78"/>
      <c r="I111" s="74"/>
      <c r="J111" s="74"/>
      <c r="K111" s="73"/>
      <c r="L111" s="23"/>
      <c r="M111" s="22"/>
      <c r="N111" s="22">
        <v>15.5</v>
      </c>
      <c r="O111" s="22">
        <v>199.85</v>
      </c>
      <c r="P111" s="22">
        <v>1939.2</v>
      </c>
      <c r="Q111" s="22"/>
      <c r="R111" s="22"/>
      <c r="S111" s="22"/>
      <c r="T111" s="22"/>
      <c r="U111" s="22"/>
      <c r="V111" s="22"/>
      <c r="W111" s="23"/>
      <c r="X111" s="23"/>
      <c r="Y111" s="25"/>
      <c r="Z111" s="32">
        <f>Z79</f>
        <v>2.3090909090909091</v>
      </c>
      <c r="AA111" s="28"/>
      <c r="AB111" s="24" t="s">
        <v>15</v>
      </c>
      <c r="AC111" s="46" t="e">
        <f>Z111-Z110</f>
        <v>#REF!</v>
      </c>
      <c r="AD111" s="23"/>
      <c r="AE111" s="23" t="s">
        <v>19</v>
      </c>
      <c r="AF111" s="23"/>
      <c r="AG111" s="23"/>
      <c r="AH111" s="23" t="e">
        <f>+AF71*AF57</f>
        <v>#REF!</v>
      </c>
      <c r="AI111" s="22"/>
      <c r="AJ111" s="22"/>
      <c r="AK111" s="22"/>
      <c r="AL111" s="22"/>
      <c r="AM111" s="22"/>
      <c r="AN111" s="22"/>
      <c r="AO111" s="22"/>
      <c r="AP111" s="22"/>
      <c r="AQ111" s="22">
        <v>41</v>
      </c>
      <c r="AR111" s="22"/>
      <c r="AS111" s="22">
        <v>1.0080499999999999</v>
      </c>
      <c r="AT111" s="22">
        <v>2.7570000000000001E-2</v>
      </c>
      <c r="AU111" s="22">
        <v>18.855999999999998</v>
      </c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</row>
    <row r="112" spans="1:77" ht="15" x14ac:dyDescent="0.2">
      <c r="A112" s="23"/>
      <c r="B112" s="25"/>
      <c r="C112" s="22"/>
      <c r="D112" s="22"/>
      <c r="E112" s="22"/>
      <c r="F112" s="74"/>
      <c r="G112" s="74">
        <f>1000/(+H125+1000)*(2.5016*H125+(0.001876*+H125+1.004)*H124)</f>
        <v>87.675758819505532</v>
      </c>
      <c r="H112" s="74">
        <f>1000/(+H128+1000)*(2.5016*H128+(0.001876*+H128+1.004)*H127)</f>
        <v>18.231566696508501</v>
      </c>
      <c r="I112" s="77"/>
      <c r="J112" s="78"/>
      <c r="K112" s="73"/>
      <c r="L112" s="23"/>
      <c r="M112" s="22"/>
      <c r="N112" s="22">
        <v>16</v>
      </c>
      <c r="O112" s="22">
        <v>201.4</v>
      </c>
      <c r="P112" s="22">
        <v>1933.14</v>
      </c>
      <c r="Q112" s="22"/>
      <c r="R112" s="22"/>
      <c r="S112" s="22"/>
      <c r="T112" s="22"/>
      <c r="U112" s="22"/>
      <c r="V112" s="22"/>
      <c r="W112" s="23"/>
      <c r="X112" s="23"/>
      <c r="Y112" s="25"/>
      <c r="Z112" s="32">
        <f>Z80</f>
        <v>46</v>
      </c>
      <c r="AA112" s="28"/>
      <c r="AB112" s="24" t="s">
        <v>16</v>
      </c>
      <c r="AC112" s="46">
        <f>Z112/Z106</f>
        <v>2.2999999999999998</v>
      </c>
      <c r="AD112" s="23"/>
      <c r="AE112" s="23"/>
      <c r="AF112" s="23"/>
      <c r="AG112" s="23"/>
      <c r="AH112" s="23"/>
      <c r="AI112" s="22"/>
      <c r="AJ112" s="22"/>
      <c r="AK112" s="22"/>
      <c r="AL112" s="22"/>
      <c r="AM112" s="22"/>
      <c r="AN112" s="22"/>
      <c r="AO112" s="22"/>
      <c r="AP112" s="22"/>
      <c r="AQ112" s="22">
        <v>42</v>
      </c>
      <c r="AR112" s="22"/>
      <c r="AS112" s="22">
        <v>1.0081</v>
      </c>
      <c r="AT112" s="22">
        <v>2.7640000000000001E-2</v>
      </c>
      <c r="AU112" s="22">
        <v>18.901999999999997</v>
      </c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</row>
    <row r="113" spans="1:77" ht="15" x14ac:dyDescent="0.2">
      <c r="A113" s="23"/>
      <c r="B113" s="25"/>
      <c r="C113" s="22"/>
      <c r="D113" s="22"/>
      <c r="E113" s="22"/>
      <c r="F113" s="74"/>
      <c r="G113" s="74">
        <f>H112-G112</f>
        <v>-69.444192122997038</v>
      </c>
      <c r="H113" s="78"/>
      <c r="I113" s="77"/>
      <c r="J113" s="78"/>
      <c r="K113" s="73"/>
      <c r="L113" s="23"/>
      <c r="M113" s="22"/>
      <c r="N113" s="22">
        <v>16.5</v>
      </c>
      <c r="O113" s="22">
        <v>202.86</v>
      </c>
      <c r="P113" s="22">
        <v>1927.3</v>
      </c>
      <c r="Q113" s="22"/>
      <c r="R113" s="22"/>
      <c r="S113" s="22"/>
      <c r="T113" s="22"/>
      <c r="U113" s="22"/>
      <c r="V113" s="22"/>
      <c r="W113" s="23"/>
      <c r="X113" s="23"/>
      <c r="Y113" s="25"/>
      <c r="Z113" s="32">
        <f>Z81</f>
        <v>39.999999999999986</v>
      </c>
      <c r="AA113" s="28"/>
      <c r="AB113" s="24" t="s">
        <v>17</v>
      </c>
      <c r="AC113" s="46">
        <f>Z113/Z106</f>
        <v>1.9999999999999993</v>
      </c>
      <c r="AD113" s="23"/>
      <c r="AE113" s="23"/>
      <c r="AF113" s="23"/>
      <c r="AG113" s="23"/>
      <c r="AH113" s="23"/>
      <c r="AI113" s="22"/>
      <c r="AJ113" s="22"/>
      <c r="AK113" s="22"/>
      <c r="AL113" s="22"/>
      <c r="AM113" s="22"/>
      <c r="AN113" s="22"/>
      <c r="AO113" s="22"/>
      <c r="AP113" s="22"/>
      <c r="AQ113" s="22">
        <v>43</v>
      </c>
      <c r="AR113" s="22"/>
      <c r="AS113" s="22">
        <v>1.0081500000000001</v>
      </c>
      <c r="AT113" s="22">
        <v>2.7709999999999999E-2</v>
      </c>
      <c r="AU113" s="22">
        <v>18.948</v>
      </c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</row>
    <row r="114" spans="1:77" ht="15" x14ac:dyDescent="0.2">
      <c r="A114" s="23"/>
      <c r="B114" s="25"/>
      <c r="C114" s="22"/>
      <c r="D114" s="22"/>
      <c r="E114" s="22"/>
      <c r="F114" s="74"/>
      <c r="G114" s="74"/>
      <c r="H114" s="74"/>
      <c r="I114" s="77"/>
      <c r="J114" s="78"/>
      <c r="K114" s="73"/>
      <c r="L114" s="23"/>
      <c r="M114" s="22"/>
      <c r="N114" s="22">
        <v>17</v>
      </c>
      <c r="O114" s="22">
        <v>204.3</v>
      </c>
      <c r="P114" s="22">
        <v>1921.56</v>
      </c>
      <c r="Q114" s="22"/>
      <c r="R114" s="22"/>
      <c r="S114" s="22"/>
      <c r="T114" s="22"/>
      <c r="U114" s="22"/>
      <c r="V114" s="22"/>
      <c r="W114" s="23"/>
      <c r="X114" s="23"/>
      <c r="Y114" s="25"/>
      <c r="Z114" s="24">
        <f>Z63</f>
        <v>240</v>
      </c>
      <c r="AA114" s="28"/>
      <c r="AB114" s="24" t="s">
        <v>14</v>
      </c>
      <c r="AC114" s="46" t="s">
        <v>14</v>
      </c>
      <c r="AD114" s="23"/>
      <c r="AE114" s="23" t="s">
        <v>20</v>
      </c>
      <c r="AF114" s="23"/>
      <c r="AG114" s="23"/>
      <c r="AH114" s="23"/>
      <c r="AI114" s="22"/>
      <c r="AJ114" s="22"/>
      <c r="AK114" s="22"/>
      <c r="AL114" s="22"/>
      <c r="AM114" s="22"/>
      <c r="AN114" s="22"/>
      <c r="AO114" s="22"/>
      <c r="AP114" s="22"/>
      <c r="AQ114" s="22">
        <v>44</v>
      </c>
      <c r="AR114" s="22"/>
      <c r="AS114" s="22">
        <v>1.0082</v>
      </c>
      <c r="AT114" s="22">
        <v>2.7779999999999999E-2</v>
      </c>
      <c r="AU114" s="22">
        <v>18.994</v>
      </c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</row>
    <row r="115" spans="1:77" ht="15.75" x14ac:dyDescent="0.25">
      <c r="A115" s="23"/>
      <c r="B115" s="25"/>
      <c r="C115" s="22"/>
      <c r="D115" s="22"/>
      <c r="E115" s="22"/>
      <c r="F115" s="74"/>
      <c r="G115" s="76">
        <f>4.215*((100-H135)/100)^0.4</f>
        <v>4.2149999999999999</v>
      </c>
      <c r="H115" s="74"/>
      <c r="I115" s="77"/>
      <c r="J115" s="78"/>
      <c r="K115" s="73"/>
      <c r="L115" s="23"/>
      <c r="M115" s="22"/>
      <c r="N115" s="22">
        <v>17.5</v>
      </c>
      <c r="O115" s="22">
        <v>205.72</v>
      </c>
      <c r="P115" s="22">
        <v>1915.9</v>
      </c>
      <c r="Q115" s="22"/>
      <c r="R115" s="22"/>
      <c r="S115" s="22"/>
      <c r="T115" s="22"/>
      <c r="U115" s="22"/>
      <c r="V115" s="22"/>
      <c r="W115" s="23"/>
      <c r="X115" s="23"/>
      <c r="Y115" s="25"/>
      <c r="Z115" s="24"/>
      <c r="AA115" s="28"/>
      <c r="AB115" s="24"/>
      <c r="AC115" s="25"/>
      <c r="AD115" s="23"/>
      <c r="AE115" s="23"/>
      <c r="AF115" s="23"/>
      <c r="AG115" s="23"/>
      <c r="AH115" s="23"/>
      <c r="AI115" s="22"/>
      <c r="AJ115" s="22"/>
      <c r="AK115" s="22"/>
      <c r="AL115" s="22"/>
      <c r="AM115" s="22"/>
      <c r="AN115" s="22"/>
      <c r="AO115" s="22"/>
      <c r="AP115" s="22"/>
      <c r="AQ115" s="22">
        <v>45</v>
      </c>
      <c r="AR115" s="22"/>
      <c r="AS115" s="22">
        <v>1.0082499999999999</v>
      </c>
      <c r="AT115" s="22">
        <v>2.785E-2</v>
      </c>
      <c r="AU115" s="22">
        <v>19.04</v>
      </c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</row>
    <row r="116" spans="1:77" ht="15" x14ac:dyDescent="0.2">
      <c r="A116" s="23"/>
      <c r="B116" s="25"/>
      <c r="C116" s="22"/>
      <c r="D116" s="22"/>
      <c r="E116" s="22"/>
      <c r="F116" s="74"/>
      <c r="G116" s="74"/>
      <c r="H116" s="74"/>
      <c r="I116" s="77"/>
      <c r="J116" s="78"/>
      <c r="K116" s="73"/>
      <c r="L116" s="23"/>
      <c r="M116" s="22"/>
      <c r="N116" s="22">
        <v>18</v>
      </c>
      <c r="O116" s="22">
        <v>207.1</v>
      </c>
      <c r="P116" s="22">
        <v>1910.23</v>
      </c>
      <c r="Q116" s="22"/>
      <c r="R116" s="22"/>
      <c r="S116" s="22"/>
      <c r="T116" s="22"/>
      <c r="U116" s="22"/>
      <c r="V116" s="22"/>
      <c r="W116" s="23"/>
      <c r="X116" s="23"/>
      <c r="Y116" s="25"/>
      <c r="Z116" s="44"/>
      <c r="AA116" s="28"/>
      <c r="AB116" s="24"/>
      <c r="AC116" s="25"/>
      <c r="AD116" s="23"/>
      <c r="AE116" s="23" t="s">
        <v>21</v>
      </c>
      <c r="AF116" s="23"/>
      <c r="AG116" s="23" t="e">
        <f>0.001*#REF!*0.001*280*0.005*8000*2*AF72*AF51</f>
        <v>#REF!</v>
      </c>
      <c r="AH116" s="23"/>
      <c r="AI116" s="22"/>
      <c r="AJ116" s="22"/>
      <c r="AK116" s="22"/>
      <c r="AL116" s="22"/>
      <c r="AM116" s="22"/>
      <c r="AN116" s="22"/>
      <c r="AO116" s="22"/>
      <c r="AP116" s="22"/>
      <c r="AQ116" s="22">
        <v>46</v>
      </c>
      <c r="AR116" s="22"/>
      <c r="AS116" s="22">
        <v>1.0083</v>
      </c>
      <c r="AT116" s="22">
        <v>2.792E-2</v>
      </c>
      <c r="AU116" s="22">
        <v>19.085999999999999</v>
      </c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</row>
    <row r="117" spans="1:77" ht="15" x14ac:dyDescent="0.2">
      <c r="A117" s="23"/>
      <c r="B117" s="25"/>
      <c r="C117" s="22"/>
      <c r="D117" s="22"/>
      <c r="E117" s="22"/>
      <c r="F117" s="74"/>
      <c r="G117" s="79">
        <f>(54.5*(H140/500)^0.07)*(90-H135*(180/H140)^0.7)/90</f>
        <v>56.452183639417449</v>
      </c>
      <c r="H117" s="74"/>
      <c r="I117" s="77"/>
      <c r="J117" s="78"/>
      <c r="K117" s="73"/>
      <c r="L117" s="23"/>
      <c r="M117" s="22"/>
      <c r="N117" s="22">
        <v>18.5</v>
      </c>
      <c r="O117" s="22">
        <v>208.47</v>
      </c>
      <c r="P117" s="22">
        <v>1904.7</v>
      </c>
      <c r="Q117" s="22"/>
      <c r="R117" s="22"/>
      <c r="S117" s="22"/>
      <c r="T117" s="22"/>
      <c r="U117" s="22"/>
      <c r="V117" s="22"/>
      <c r="W117" s="23"/>
      <c r="X117" s="23"/>
      <c r="Y117" s="25"/>
      <c r="Z117" s="25" t="e">
        <f>1+(2*Z109*Z110/(Z111*Z106))</f>
        <v>#REF!</v>
      </c>
      <c r="AA117" s="40"/>
      <c r="AB117" s="25"/>
      <c r="AC117" s="25"/>
      <c r="AD117" s="23"/>
      <c r="AE117" s="23" t="s">
        <v>22</v>
      </c>
      <c r="AF117" s="23"/>
      <c r="AG117" s="23" t="e">
        <f>5*0.001*#REF!*0.001*0.22*8000*AF51*AF72*2</f>
        <v>#REF!</v>
      </c>
      <c r="AH117" s="23"/>
      <c r="AI117" s="22"/>
      <c r="AJ117" s="22"/>
      <c r="AK117" s="22"/>
      <c r="AL117" s="22"/>
      <c r="AM117" s="22"/>
      <c r="AN117" s="22"/>
      <c r="AO117" s="22"/>
      <c r="AP117" s="22"/>
      <c r="AQ117" s="22">
        <v>47</v>
      </c>
      <c r="AR117" s="22"/>
      <c r="AS117" s="22">
        <v>1.0083500000000001</v>
      </c>
      <c r="AT117" s="22">
        <v>2.7990000000000001E-2</v>
      </c>
      <c r="AU117" s="22">
        <v>19.131999999999998</v>
      </c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</row>
    <row r="118" spans="1:77" ht="15" x14ac:dyDescent="0.2">
      <c r="A118" s="23"/>
      <c r="B118" s="25"/>
      <c r="C118" s="22"/>
      <c r="D118" s="22"/>
      <c r="E118" s="22"/>
      <c r="F118" s="74"/>
      <c r="G118" s="79">
        <f>((H124-H137)-(H127-H136))/LN((H124-H137)/(H127-H136))</f>
        <v>9.5360933279958768</v>
      </c>
      <c r="H118" s="77"/>
      <c r="I118" s="77"/>
      <c r="J118" s="78"/>
      <c r="K118" s="73"/>
      <c r="L118" s="23"/>
      <c r="M118" s="22"/>
      <c r="N118" s="22">
        <v>19</v>
      </c>
      <c r="O118" s="22">
        <v>209.8</v>
      </c>
      <c r="P118" s="22">
        <v>1899.29</v>
      </c>
      <c r="Q118" s="22"/>
      <c r="R118" s="22"/>
      <c r="S118" s="22"/>
      <c r="T118" s="22"/>
      <c r="U118" s="22"/>
      <c r="V118" s="22"/>
      <c r="W118" s="23"/>
      <c r="X118" s="23"/>
      <c r="Y118" s="25"/>
      <c r="Z118" s="44" t="e">
        <f>AC112/(AC112-Z117)</f>
        <v>#REF!</v>
      </c>
      <c r="AA118" s="28"/>
      <c r="AB118" s="24"/>
      <c r="AC118" s="25"/>
      <c r="AD118" s="23"/>
      <c r="AE118" s="23" t="s">
        <v>23</v>
      </c>
      <c r="AF118" s="23"/>
      <c r="AG118" s="23" t="e">
        <f>(AF58*0.002*0.05*0.2+AF51*2*0.005*0.05*0.2)*8000*AF72</f>
        <v>#REF!</v>
      </c>
      <c r="AH118" s="23"/>
      <c r="AI118" s="22"/>
      <c r="AJ118" s="22"/>
      <c r="AK118" s="22"/>
      <c r="AL118" s="22"/>
      <c r="AM118" s="22"/>
      <c r="AN118" s="22"/>
      <c r="AO118" s="22"/>
      <c r="AP118" s="22"/>
      <c r="AQ118" s="22">
        <v>48</v>
      </c>
      <c r="AR118" s="22"/>
      <c r="AS118" s="22">
        <v>1.0084</v>
      </c>
      <c r="AT118" s="22">
        <v>2.8059999999999998E-2</v>
      </c>
      <c r="AU118" s="22">
        <v>19.178000000000001</v>
      </c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</row>
    <row r="119" spans="1:77" ht="15" x14ac:dyDescent="0.2">
      <c r="A119" s="23"/>
      <c r="B119" s="25"/>
      <c r="C119" s="22"/>
      <c r="D119" s="22"/>
      <c r="E119" s="22"/>
      <c r="F119" s="74"/>
      <c r="G119" s="79">
        <f>-H132*1000/(G118*G117)</f>
        <v>356.644785256207</v>
      </c>
      <c r="H119" s="74"/>
      <c r="I119" s="74"/>
      <c r="J119" s="74"/>
      <c r="K119" s="73"/>
      <c r="L119" s="23"/>
      <c r="M119" s="22"/>
      <c r="N119" s="22">
        <v>19.5</v>
      </c>
      <c r="O119" s="22">
        <v>211.1</v>
      </c>
      <c r="P119" s="22">
        <v>1893</v>
      </c>
      <c r="Q119" s="22"/>
      <c r="R119" s="22"/>
      <c r="S119" s="22"/>
      <c r="T119" s="22"/>
      <c r="U119" s="22"/>
      <c r="V119" s="22"/>
      <c r="W119" s="23"/>
      <c r="X119" s="23"/>
      <c r="Y119" s="25"/>
      <c r="Z119" s="44"/>
      <c r="AA119" s="28"/>
      <c r="AB119" s="24"/>
      <c r="AC119" s="25"/>
      <c r="AD119" s="23"/>
      <c r="AE119" s="23" t="s">
        <v>24</v>
      </c>
      <c r="AF119" s="23"/>
      <c r="AG119" s="23" t="e">
        <f>#REF!^0.5*1388/42*1.1/2*AF51</f>
        <v>#REF!</v>
      </c>
      <c r="AH119" s="23"/>
      <c r="AI119" s="22"/>
      <c r="AJ119" s="22"/>
      <c r="AK119" s="22"/>
      <c r="AL119" s="22"/>
      <c r="AM119" s="22"/>
      <c r="AN119" s="22"/>
      <c r="AO119" s="22"/>
      <c r="AP119" s="22"/>
      <c r="AQ119" s="22">
        <v>49</v>
      </c>
      <c r="AR119" s="22"/>
      <c r="AS119" s="22">
        <v>1.0084499999999998</v>
      </c>
      <c r="AT119" s="22">
        <v>2.8129999999999999E-2</v>
      </c>
      <c r="AU119" s="22">
        <v>19.224</v>
      </c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</row>
    <row r="120" spans="1:77" ht="15" x14ac:dyDescent="0.2">
      <c r="A120" s="23"/>
      <c r="B120" s="25"/>
      <c r="C120" s="22"/>
      <c r="D120" s="22"/>
      <c r="E120" s="22"/>
      <c r="F120" s="74"/>
      <c r="G120" s="74">
        <f>G119/(H141/G104*2*H140/1000)*1000</f>
        <v>559.19905117375811</v>
      </c>
      <c r="H120" s="74"/>
      <c r="I120" s="74"/>
      <c r="J120" s="74"/>
      <c r="K120" s="73"/>
      <c r="L120" s="23"/>
      <c r="M120" s="22"/>
      <c r="N120" s="22">
        <v>20</v>
      </c>
      <c r="O120" s="22">
        <v>212.4</v>
      </c>
      <c r="P120" s="22">
        <v>1888.61</v>
      </c>
      <c r="Q120" s="22"/>
      <c r="R120" s="22"/>
      <c r="S120" s="22"/>
      <c r="T120" s="22"/>
      <c r="U120" s="22"/>
      <c r="V120" s="22"/>
      <c r="W120" s="23"/>
      <c r="X120" s="23"/>
      <c r="Y120" s="25"/>
      <c r="Z120" s="44" t="e">
        <f>0.5*((2*AC112+Z117)*Z117)^0.5</f>
        <v>#REF!</v>
      </c>
      <c r="AA120" s="28" t="e">
        <f>IF(Z120&lt;AC113,"OK! &lt;","GÅR IKKE!!! &gt;")</f>
        <v>#REF!</v>
      </c>
      <c r="AB120" s="28">
        <f>AC113</f>
        <v>1.9999999999999993</v>
      </c>
      <c r="AC120" s="25"/>
      <c r="AD120" s="23"/>
      <c r="AE120" s="23"/>
      <c r="AF120" s="23"/>
      <c r="AG120" s="23"/>
      <c r="AH120" s="23"/>
      <c r="AI120" s="22"/>
      <c r="AJ120" s="22"/>
      <c r="AK120" s="22"/>
      <c r="AL120" s="22"/>
      <c r="AM120" s="22"/>
      <c r="AN120" s="22"/>
      <c r="AO120" s="22"/>
      <c r="AP120" s="22"/>
      <c r="AQ120" s="22">
        <v>50</v>
      </c>
      <c r="AR120" s="22"/>
      <c r="AS120" s="22">
        <v>1.0085</v>
      </c>
      <c r="AT120" s="22">
        <v>2.8199999999999999E-2</v>
      </c>
      <c r="AU120" s="22">
        <v>19.27</v>
      </c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</row>
    <row r="121" spans="1:77" ht="15" x14ac:dyDescent="0.2">
      <c r="A121" s="23"/>
      <c r="B121" s="25"/>
      <c r="C121" s="22"/>
      <c r="D121" s="22"/>
      <c r="E121" s="22"/>
      <c r="F121" s="79"/>
      <c r="G121" s="77"/>
      <c r="H121" s="77"/>
      <c r="I121" s="77"/>
      <c r="J121" s="78"/>
      <c r="K121" s="73"/>
      <c r="L121" s="23"/>
      <c r="M121" s="22"/>
      <c r="N121" s="22">
        <v>21</v>
      </c>
      <c r="O121" s="22">
        <v>214.8</v>
      </c>
      <c r="P121" s="22">
        <v>1878.38</v>
      </c>
      <c r="Q121" s="22"/>
      <c r="R121" s="22"/>
      <c r="S121" s="22"/>
      <c r="T121" s="22"/>
      <c r="U121" s="22"/>
      <c r="V121" s="22"/>
      <c r="W121" s="23"/>
      <c r="X121" s="23"/>
      <c r="Y121" s="25"/>
      <c r="Z121" s="44"/>
      <c r="AA121" s="28"/>
      <c r="AB121" s="24"/>
      <c r="AC121" s="25"/>
      <c r="AD121" s="23"/>
      <c r="AE121" s="23" t="s">
        <v>25</v>
      </c>
      <c r="AF121" s="23"/>
      <c r="AG121" s="23" t="e">
        <f>2*200*0.001*AF56*0.001*0.002*8000*AF72*AF51</f>
        <v>#REF!</v>
      </c>
      <c r="AH121" s="23"/>
      <c r="AI121" s="22"/>
      <c r="AJ121" s="22"/>
      <c r="AK121" s="22"/>
      <c r="AL121" s="22"/>
      <c r="AM121" s="22"/>
      <c r="AN121" s="22"/>
      <c r="AO121" s="22"/>
      <c r="AP121" s="22"/>
      <c r="AQ121" s="22">
        <v>51</v>
      </c>
      <c r="AR121" s="22"/>
      <c r="AS121" s="22">
        <v>1.0085500000000001</v>
      </c>
      <c r="AT121" s="22">
        <v>2.827E-2</v>
      </c>
      <c r="AU121" s="22">
        <v>19.315999999999999</v>
      </c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</row>
    <row r="122" spans="1:77" ht="15.75" x14ac:dyDescent="0.25">
      <c r="A122" s="23"/>
      <c r="B122" s="25"/>
      <c r="C122" s="22"/>
      <c r="D122" s="22"/>
      <c r="E122" s="22"/>
      <c r="F122" s="79"/>
      <c r="G122" s="74"/>
      <c r="H122" s="75">
        <f>+E17</f>
        <v>10000</v>
      </c>
      <c r="I122" s="74"/>
      <c r="J122" s="78"/>
      <c r="K122" s="73"/>
      <c r="L122" s="23"/>
      <c r="M122" s="22"/>
      <c r="N122" s="22">
        <v>22</v>
      </c>
      <c r="O122" s="22">
        <v>217.2</v>
      </c>
      <c r="P122" s="22">
        <v>1868.15</v>
      </c>
      <c r="Q122" s="22"/>
      <c r="R122" s="22"/>
      <c r="S122" s="22"/>
      <c r="T122" s="22"/>
      <c r="U122" s="22"/>
      <c r="V122" s="22"/>
      <c r="W122" s="23"/>
      <c r="X122" s="23"/>
      <c r="Y122" s="25"/>
      <c r="Z122" s="44" t="e">
        <f>Z100*Z118</f>
        <v>#REF!</v>
      </c>
      <c r="AA122" s="28">
        <f>AA100</f>
        <v>0</v>
      </c>
      <c r="AB122" s="24"/>
      <c r="AC122" s="25"/>
      <c r="AD122" s="23"/>
      <c r="AE122" s="23" t="s">
        <v>26</v>
      </c>
      <c r="AF122" s="23"/>
      <c r="AG122" s="23" t="e">
        <f>IF(AF59=1,0.002*#REF!*0.001*0.2*8000*AF72*AF51,0)</f>
        <v>#REF!</v>
      </c>
      <c r="AH122" s="23"/>
      <c r="AI122" s="22"/>
      <c r="AJ122" s="22"/>
      <c r="AK122" s="22"/>
      <c r="AL122" s="22"/>
      <c r="AM122" s="22"/>
      <c r="AN122" s="22"/>
      <c r="AO122" s="22"/>
      <c r="AP122" s="22"/>
      <c r="AQ122" s="22">
        <v>52</v>
      </c>
      <c r="AR122" s="22"/>
      <c r="AS122" s="22">
        <v>1.0085999999999999</v>
      </c>
      <c r="AT122" s="22">
        <v>2.8340000000000001E-2</v>
      </c>
      <c r="AU122" s="22">
        <v>19.361999999999998</v>
      </c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</row>
    <row r="123" spans="1:77" ht="15.75" x14ac:dyDescent="0.25">
      <c r="A123" s="23"/>
      <c r="B123" s="25"/>
      <c r="C123" s="22"/>
      <c r="D123" s="22"/>
      <c r="E123" s="22"/>
      <c r="F123" s="77"/>
      <c r="G123" s="74"/>
      <c r="H123" s="76"/>
      <c r="I123" s="74"/>
      <c r="J123" s="78"/>
      <c r="K123" s="73"/>
      <c r="L123" s="23"/>
      <c r="M123" s="22"/>
      <c r="N123" s="22">
        <v>23</v>
      </c>
      <c r="O123" s="22">
        <v>219.5</v>
      </c>
      <c r="P123" s="22">
        <v>1858.31</v>
      </c>
      <c r="Q123" s="22"/>
      <c r="R123" s="22"/>
      <c r="S123" s="22"/>
      <c r="T123" s="22"/>
      <c r="U123" s="22"/>
      <c r="V123" s="22"/>
      <c r="W123" s="23"/>
      <c r="X123" s="23"/>
      <c r="Y123" s="25"/>
      <c r="Z123" s="47">
        <f>PI()/2*(Z106^2+Z109^2)^0.5/1000</f>
        <v>3.6636951272562959E-2</v>
      </c>
      <c r="AA123" s="28" t="s">
        <v>13</v>
      </c>
      <c r="AB123" s="24"/>
      <c r="AC123" s="25"/>
      <c r="AD123" s="23"/>
      <c r="AE123" s="23" t="s">
        <v>27</v>
      </c>
      <c r="AF123" s="23"/>
      <c r="AG123" s="23" t="e">
        <f>(2*((0.001*#REF!*2+2*AF56*0.001)*0.01*0.04*8000*AF72))*(AF52+IF(AF64=1,1,0))</f>
        <v>#REF!</v>
      </c>
      <c r="AH123" s="23"/>
      <c r="AI123" s="22"/>
      <c r="AJ123" s="22"/>
      <c r="AK123" s="22"/>
      <c r="AL123" s="22"/>
      <c r="AM123" s="22"/>
      <c r="AN123" s="22"/>
      <c r="AO123" s="22"/>
      <c r="AP123" s="22"/>
      <c r="AQ123" s="22">
        <v>53</v>
      </c>
      <c r="AR123" s="22"/>
      <c r="AS123" s="22">
        <v>1.0086499999999998</v>
      </c>
      <c r="AT123" s="22">
        <v>2.8409999999999998E-2</v>
      </c>
      <c r="AU123" s="22">
        <v>19.408000000000001</v>
      </c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</row>
    <row r="124" spans="1:77" ht="15.75" x14ac:dyDescent="0.25">
      <c r="A124" s="23"/>
      <c r="B124" s="25"/>
      <c r="C124" s="74"/>
      <c r="D124" s="74"/>
      <c r="E124" s="74"/>
      <c r="F124" s="74"/>
      <c r="G124" s="74"/>
      <c r="H124" s="76">
        <f>+E9</f>
        <v>30</v>
      </c>
      <c r="I124" s="74"/>
      <c r="J124" s="74"/>
      <c r="K124" s="73"/>
      <c r="L124" s="23"/>
      <c r="M124" s="22"/>
      <c r="N124" s="22">
        <v>24</v>
      </c>
      <c r="O124" s="22">
        <v>221.8</v>
      </c>
      <c r="P124" s="22">
        <v>1848.47</v>
      </c>
      <c r="Q124" s="22"/>
      <c r="R124" s="22"/>
      <c r="S124" s="22"/>
      <c r="T124" s="22"/>
      <c r="U124" s="22"/>
      <c r="V124" s="22"/>
      <c r="W124" s="23"/>
      <c r="X124" s="23"/>
      <c r="Y124" s="25"/>
      <c r="Z124" s="24"/>
      <c r="AA124" s="28"/>
      <c r="AB124" s="24"/>
      <c r="AC124" s="25"/>
      <c r="AD124" s="23"/>
      <c r="AE124" s="23" t="s">
        <v>28</v>
      </c>
      <c r="AF124" s="23"/>
      <c r="AG124" s="23">
        <v>300</v>
      </c>
      <c r="AH124" s="23"/>
      <c r="AI124" s="22"/>
      <c r="AJ124" s="22"/>
      <c r="AK124" s="22"/>
      <c r="AL124" s="22"/>
      <c r="AM124" s="22"/>
      <c r="AN124" s="22"/>
      <c r="AO124" s="22"/>
      <c r="AP124" s="22"/>
      <c r="AQ124" s="22">
        <v>54</v>
      </c>
      <c r="AR124" s="22"/>
      <c r="AS124" s="22">
        <v>1.0086999999999999</v>
      </c>
      <c r="AT124" s="22">
        <v>2.8479999999999998E-2</v>
      </c>
      <c r="AU124" s="22">
        <v>19.454000000000001</v>
      </c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</row>
    <row r="125" spans="1:77" ht="18" x14ac:dyDescent="0.25">
      <c r="A125" s="23"/>
      <c r="B125" s="25"/>
      <c r="C125" s="66"/>
      <c r="D125" s="66"/>
      <c r="E125" s="66"/>
      <c r="F125" s="66"/>
      <c r="G125" s="74"/>
      <c r="H125" s="76">
        <f>+E11</f>
        <v>23.3</v>
      </c>
      <c r="I125" s="74"/>
      <c r="J125" s="67"/>
      <c r="K125" s="67"/>
      <c r="L125" s="23"/>
      <c r="M125" s="22"/>
      <c r="N125" s="22">
        <v>25</v>
      </c>
      <c r="O125" s="22">
        <v>223.9</v>
      </c>
      <c r="P125" s="22">
        <v>1839.075</v>
      </c>
      <c r="Q125" s="22"/>
      <c r="R125" s="22"/>
      <c r="S125" s="22"/>
      <c r="T125" s="22"/>
      <c r="U125" s="22"/>
      <c r="V125" s="22"/>
      <c r="W125" s="23"/>
      <c r="X125" s="23"/>
      <c r="Y125" s="25"/>
      <c r="Z125" s="24" t="e">
        <f>Z122*Z123*1000000/Z71</f>
        <v>#REF!</v>
      </c>
      <c r="AA125" s="28"/>
      <c r="AB125" s="24"/>
      <c r="AC125" s="25"/>
      <c r="AD125" s="23"/>
      <c r="AE125" s="23" t="s">
        <v>29</v>
      </c>
      <c r="AF125" s="23"/>
      <c r="AG125" s="23">
        <f>IF(AF65=1,500,0)</f>
        <v>500</v>
      </c>
      <c r="AH125" s="23"/>
      <c r="AI125" s="22"/>
      <c r="AJ125" s="22"/>
      <c r="AK125" s="22"/>
      <c r="AL125" s="22"/>
      <c r="AM125" s="22"/>
      <c r="AN125" s="22"/>
      <c r="AO125" s="22"/>
      <c r="AP125" s="22"/>
      <c r="AQ125" s="22">
        <v>55</v>
      </c>
      <c r="AR125" s="22"/>
      <c r="AS125" s="22">
        <v>1.00875</v>
      </c>
      <c r="AT125" s="22">
        <v>2.8549999999999999E-2</v>
      </c>
      <c r="AU125" s="22">
        <v>19.5</v>
      </c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</row>
    <row r="126" spans="1:77" ht="18" x14ac:dyDescent="0.25">
      <c r="A126" s="23"/>
      <c r="B126" s="25"/>
      <c r="C126" s="67"/>
      <c r="D126" s="67"/>
      <c r="E126" s="67"/>
      <c r="F126" s="66"/>
      <c r="G126" s="74"/>
      <c r="H126" s="76"/>
      <c r="I126" s="74"/>
      <c r="J126" s="68"/>
      <c r="K126" s="68"/>
      <c r="L126" s="22"/>
      <c r="M126" s="22"/>
      <c r="N126" s="22">
        <v>26</v>
      </c>
      <c r="O126" s="22">
        <v>226</v>
      </c>
      <c r="P126" s="22">
        <v>1829.68</v>
      </c>
      <c r="Q126" s="22"/>
      <c r="R126" s="22"/>
      <c r="S126" s="22"/>
      <c r="T126" s="22"/>
      <c r="U126" s="22"/>
      <c r="V126" s="22"/>
      <c r="W126" s="23"/>
      <c r="X126" s="23"/>
      <c r="Y126" s="25"/>
      <c r="Z126" s="44">
        <f>1-0.15*EXP(-10*Z109/Z106)</f>
        <v>0.99962818717349999</v>
      </c>
      <c r="AA126" s="28"/>
      <c r="AB126" s="24"/>
      <c r="AC126" s="25"/>
      <c r="AD126" s="23"/>
      <c r="AE126" s="23" t="s">
        <v>30</v>
      </c>
      <c r="AF126" s="23"/>
      <c r="AG126" s="23" t="e">
        <f>IF(AF62=1,100+(2*(0.001*#REF!+0.001*AF56))*AF51*0.2*0.001*8000*AF72,0)</f>
        <v>#REF!</v>
      </c>
      <c r="AH126" s="23"/>
      <c r="AI126" s="22"/>
      <c r="AJ126" s="22"/>
      <c r="AK126" s="22"/>
      <c r="AL126" s="22"/>
      <c r="AM126" s="22"/>
      <c r="AN126" s="22"/>
      <c r="AO126" s="22"/>
      <c r="AP126" s="22"/>
      <c r="AQ126" s="22">
        <v>56</v>
      </c>
      <c r="AR126" s="22"/>
      <c r="AS126" s="22">
        <v>1.0087999999999999</v>
      </c>
      <c r="AT126" s="22">
        <v>2.862E-2</v>
      </c>
      <c r="AU126" s="22">
        <v>19.545999999999999</v>
      </c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</row>
    <row r="127" spans="1:77" ht="15.75" x14ac:dyDescent="0.25">
      <c r="A127" s="23"/>
      <c r="B127" s="25"/>
      <c r="C127" s="25"/>
      <c r="D127" s="40"/>
      <c r="E127" s="25"/>
      <c r="F127" s="25"/>
      <c r="G127" s="74"/>
      <c r="H127" s="76">
        <f>+E13</f>
        <v>5</v>
      </c>
      <c r="I127" s="74"/>
      <c r="J127" s="22"/>
      <c r="K127" s="22"/>
      <c r="L127" s="22"/>
      <c r="M127" s="22"/>
      <c r="N127" s="22">
        <v>26.5</v>
      </c>
      <c r="O127" s="22">
        <v>227</v>
      </c>
      <c r="P127" s="22">
        <v>1825.1</v>
      </c>
      <c r="Q127" s="22"/>
      <c r="R127" s="22"/>
      <c r="S127" s="22"/>
      <c r="T127" s="22"/>
      <c r="U127" s="22"/>
      <c r="V127" s="22"/>
      <c r="W127" s="23"/>
      <c r="X127" s="23"/>
      <c r="Y127" s="25"/>
      <c r="Z127" s="44"/>
      <c r="AA127" s="28"/>
      <c r="AB127" s="24"/>
      <c r="AC127" s="25"/>
      <c r="AD127" s="23"/>
      <c r="AE127" s="23" t="s">
        <v>31</v>
      </c>
      <c r="AF127" s="23"/>
      <c r="AG127" s="23" t="e">
        <f>((AF52-1)+IF(AF64=1,4,0))*(2*#REF!+2*AF56)/100*2</f>
        <v>#REF!</v>
      </c>
      <c r="AH127" s="23"/>
      <c r="AI127" s="22"/>
      <c r="AJ127" s="22"/>
      <c r="AK127" s="22"/>
      <c r="AL127" s="22"/>
      <c r="AM127" s="22"/>
      <c r="AN127" s="22"/>
      <c r="AO127" s="22"/>
      <c r="AP127" s="22"/>
      <c r="AQ127" s="22">
        <v>57</v>
      </c>
      <c r="AR127" s="22"/>
      <c r="AS127" s="22">
        <v>1.0088499999999998</v>
      </c>
      <c r="AT127" s="22">
        <v>2.869E-2</v>
      </c>
      <c r="AU127" s="22">
        <v>19.591999999999999</v>
      </c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</row>
    <row r="128" spans="1:77" ht="15.75" x14ac:dyDescent="0.25">
      <c r="A128" s="23"/>
      <c r="B128" s="25"/>
      <c r="C128" s="24"/>
      <c r="D128" s="28"/>
      <c r="E128" s="24"/>
      <c r="F128" s="25"/>
      <c r="G128" s="74"/>
      <c r="H128" s="76">
        <f>+E15</f>
        <v>5.3</v>
      </c>
      <c r="I128" s="74"/>
      <c r="J128" s="22"/>
      <c r="K128" s="22"/>
      <c r="L128" s="22"/>
      <c r="M128" s="22"/>
      <c r="N128" s="22">
        <v>27</v>
      </c>
      <c r="O128" s="22">
        <v>228</v>
      </c>
      <c r="P128" s="22">
        <v>1820.6</v>
      </c>
      <c r="Q128" s="22"/>
      <c r="R128" s="22"/>
      <c r="S128" s="22"/>
      <c r="T128" s="22"/>
      <c r="U128" s="22"/>
      <c r="V128" s="22"/>
      <c r="W128" s="23"/>
      <c r="X128" s="23"/>
      <c r="Y128" s="25"/>
      <c r="Z128" s="44" t="e">
        <f>0.664*Z74^0.333*Z125^0.5</f>
        <v>#REF!</v>
      </c>
      <c r="AA128" s="28"/>
      <c r="AB128" s="24"/>
      <c r="AC128" s="25"/>
      <c r="AD128" s="23"/>
      <c r="AE128" s="23" t="s">
        <v>32</v>
      </c>
      <c r="AF128" s="23"/>
      <c r="AG128" s="23" t="e">
        <f>IF(AF63=1,+AF51*50+0.1*#REF!*AF51*AF56/1000,0)</f>
        <v>#REF!</v>
      </c>
      <c r="AH128" s="23"/>
      <c r="AI128" s="22"/>
      <c r="AJ128" s="22"/>
      <c r="AK128" s="22"/>
      <c r="AL128" s="22"/>
      <c r="AM128" s="22"/>
      <c r="AN128" s="22"/>
      <c r="AO128" s="22"/>
      <c r="AP128" s="22"/>
      <c r="AQ128" s="22">
        <v>58</v>
      </c>
      <c r="AR128" s="22"/>
      <c r="AS128" s="22">
        <v>1.0088999999999999</v>
      </c>
      <c r="AT128" s="22">
        <v>2.8759999999999997E-2</v>
      </c>
      <c r="AU128" s="22">
        <v>19.638000000000002</v>
      </c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</row>
    <row r="129" spans="1:77" ht="15.75" x14ac:dyDescent="0.25">
      <c r="A129" s="23"/>
      <c r="B129" s="25"/>
      <c r="C129" s="32"/>
      <c r="D129" s="28"/>
      <c r="E129" s="24"/>
      <c r="F129" s="25"/>
      <c r="G129" s="74"/>
      <c r="H129" s="76"/>
      <c r="I129" s="74"/>
      <c r="J129" s="22"/>
      <c r="K129" s="22"/>
      <c r="L129" s="22"/>
      <c r="M129" s="22"/>
      <c r="N129" s="22">
        <v>27.5</v>
      </c>
      <c r="O129" s="22">
        <v>229</v>
      </c>
      <c r="P129" s="22">
        <v>1815.8</v>
      </c>
      <c r="Q129" s="22"/>
      <c r="R129" s="22"/>
      <c r="S129" s="22"/>
      <c r="T129" s="22"/>
      <c r="U129" s="22"/>
      <c r="V129" s="22"/>
      <c r="W129" s="23"/>
      <c r="X129" s="23"/>
      <c r="Y129" s="25"/>
      <c r="Z129" s="44" t="e">
        <f>0.037*Z125^0.8*Z74/(1+2.443*Z125^-0.1*(Z74^0.667-1))</f>
        <v>#REF!</v>
      </c>
      <c r="AA129" s="28"/>
      <c r="AB129" s="24"/>
      <c r="AC129" s="25"/>
      <c r="AD129" s="23"/>
      <c r="AE129" s="23" t="s">
        <v>33</v>
      </c>
      <c r="AF129" s="23"/>
      <c r="AG129" s="23" t="e">
        <f>AF57*11</f>
        <v>#REF!</v>
      </c>
      <c r="AH129" s="23"/>
      <c r="AI129" s="22"/>
      <c r="AJ129" s="22"/>
      <c r="AK129" s="22"/>
      <c r="AL129" s="22"/>
      <c r="AM129" s="22"/>
      <c r="AN129" s="22"/>
      <c r="AO129" s="22"/>
      <c r="AP129" s="22"/>
      <c r="AQ129" s="22">
        <v>59</v>
      </c>
      <c r="AR129" s="22"/>
      <c r="AS129" s="22">
        <v>1.00895</v>
      </c>
      <c r="AT129" s="22">
        <v>2.8829999999999998E-2</v>
      </c>
      <c r="AU129" s="22">
        <v>19.684000000000001</v>
      </c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</row>
    <row r="130" spans="1:77" ht="15.75" x14ac:dyDescent="0.25">
      <c r="A130" s="23"/>
      <c r="B130" s="25"/>
      <c r="C130" s="31"/>
      <c r="D130" s="28"/>
      <c r="E130" s="24"/>
      <c r="F130" s="25"/>
      <c r="G130" s="74"/>
      <c r="H130" s="76">
        <f>H122/(1+0.001*H125)*0.001*G108</f>
        <v>175.90149516270887</v>
      </c>
      <c r="I130" s="74"/>
      <c r="J130" s="22"/>
      <c r="K130" s="22"/>
      <c r="L130" s="22"/>
      <c r="M130" s="22"/>
      <c r="N130" s="22">
        <v>28</v>
      </c>
      <c r="O130" s="22">
        <v>230</v>
      </c>
      <c r="P130" s="22">
        <v>1811.52</v>
      </c>
      <c r="Q130" s="22"/>
      <c r="R130" s="22"/>
      <c r="S130" s="22"/>
      <c r="T130" s="22"/>
      <c r="U130" s="22"/>
      <c r="V130" s="22"/>
      <c r="W130" s="23"/>
      <c r="X130" s="23"/>
      <c r="Y130" s="25"/>
      <c r="Z130" s="44" t="e">
        <f>0.3+(Z128^2+(Z126*Z129)^2)^0.5</f>
        <v>#REF!</v>
      </c>
      <c r="AA130" s="28"/>
      <c r="AB130" s="24"/>
      <c r="AC130" s="25"/>
      <c r="AD130" s="23"/>
      <c r="AE130" s="23"/>
      <c r="AF130" s="23"/>
      <c r="AG130" s="23"/>
      <c r="AH130" s="23"/>
      <c r="AI130" s="22"/>
      <c r="AJ130" s="22"/>
      <c r="AK130" s="22"/>
      <c r="AL130" s="22"/>
      <c r="AM130" s="22"/>
      <c r="AN130" s="22"/>
      <c r="AO130" s="22"/>
      <c r="AP130" s="22"/>
      <c r="AQ130" s="22">
        <v>60</v>
      </c>
      <c r="AR130" s="22"/>
      <c r="AS130" s="22">
        <v>1.0089999999999999</v>
      </c>
      <c r="AT130" s="22">
        <v>2.8899999999999999E-2</v>
      </c>
      <c r="AU130" s="22">
        <v>19.73</v>
      </c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</row>
    <row r="131" spans="1:77" ht="15.75" x14ac:dyDescent="0.25">
      <c r="A131" s="23"/>
      <c r="B131" s="25"/>
      <c r="C131" s="31"/>
      <c r="D131" s="28"/>
      <c r="E131" s="24"/>
      <c r="F131" s="25"/>
      <c r="G131" s="74"/>
      <c r="H131" s="76"/>
      <c r="I131" s="74"/>
      <c r="J131" s="22"/>
      <c r="K131" s="22"/>
      <c r="L131" s="22"/>
      <c r="M131" s="22"/>
      <c r="N131" s="22">
        <v>29</v>
      </c>
      <c r="O131" s="22">
        <v>231.9</v>
      </c>
      <c r="P131" s="22">
        <v>1802.71</v>
      </c>
      <c r="Q131" s="22"/>
      <c r="R131" s="22"/>
      <c r="S131" s="22"/>
      <c r="T131" s="22"/>
      <c r="U131" s="22"/>
      <c r="V131" s="22"/>
      <c r="W131" s="23"/>
      <c r="X131" s="23"/>
      <c r="Y131" s="25"/>
      <c r="Z131" s="44"/>
      <c r="AA131" s="28"/>
      <c r="AB131" s="24"/>
      <c r="AC131" s="25"/>
      <c r="AD131" s="23"/>
      <c r="AE131" s="23" t="s">
        <v>34</v>
      </c>
      <c r="AF131" s="23"/>
      <c r="AG131" s="23"/>
      <c r="AH131" s="23" t="e">
        <f>SUM(AG116:AG130)</f>
        <v>#REF!</v>
      </c>
      <c r="AI131" s="22"/>
      <c r="AJ131" s="22"/>
      <c r="AK131" s="22"/>
      <c r="AL131" s="22"/>
      <c r="AM131" s="22"/>
      <c r="AN131" s="22"/>
      <c r="AO131" s="22"/>
      <c r="AP131" s="22"/>
      <c r="AQ131" s="22">
        <v>61</v>
      </c>
      <c r="AR131" s="22"/>
      <c r="AS131" s="22">
        <v>1.00905</v>
      </c>
      <c r="AT131" s="22">
        <v>2.8974999999999997E-2</v>
      </c>
      <c r="AU131" s="22">
        <v>19.78</v>
      </c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</row>
    <row r="132" spans="1:77" ht="15.75" x14ac:dyDescent="0.25">
      <c r="A132" s="23"/>
      <c r="B132" s="25"/>
      <c r="C132" s="48"/>
      <c r="D132" s="28"/>
      <c r="E132" s="24"/>
      <c r="F132" s="25"/>
      <c r="G132" s="74"/>
      <c r="H132" s="76">
        <f>(-G112*1000*H122/((1000+H125)*3600)+H112*1000*H122/((1000+H128)*3600))*(1000+H125)/1000</f>
        <v>-191.99376123410303</v>
      </c>
      <c r="I132" s="74"/>
      <c r="J132" s="22"/>
      <c r="K132" s="22"/>
      <c r="L132" s="22"/>
      <c r="M132" s="22"/>
      <c r="N132" s="22">
        <v>30</v>
      </c>
      <c r="O132" s="22">
        <v>233.8</v>
      </c>
      <c r="P132" s="22">
        <v>1793.9</v>
      </c>
      <c r="Q132" s="22"/>
      <c r="R132" s="22"/>
      <c r="S132" s="22"/>
      <c r="T132" s="22"/>
      <c r="U132" s="22"/>
      <c r="V132" s="22"/>
      <c r="W132" s="23"/>
      <c r="X132" s="23"/>
      <c r="Y132" s="25"/>
      <c r="Z132" s="44" t="e">
        <f>Z130*Z72/Z123</f>
        <v>#REF!</v>
      </c>
      <c r="AA132" s="28"/>
      <c r="AB132" s="24"/>
      <c r="AC132" s="25"/>
      <c r="AD132" s="23"/>
      <c r="AE132" s="23"/>
      <c r="AF132" s="23"/>
      <c r="AG132" s="23"/>
      <c r="AH132" s="23"/>
      <c r="AI132" s="22"/>
      <c r="AJ132" s="22"/>
      <c r="AK132" s="22"/>
      <c r="AL132" s="22"/>
      <c r="AM132" s="22"/>
      <c r="AN132" s="22"/>
      <c r="AO132" s="22"/>
      <c r="AP132" s="22"/>
      <c r="AQ132" s="22">
        <v>62</v>
      </c>
      <c r="AR132" s="22"/>
      <c r="AS132" s="22">
        <v>1.0090999999999999</v>
      </c>
      <c r="AT132" s="22">
        <v>2.9049999999999999E-2</v>
      </c>
      <c r="AU132" s="22">
        <v>19.829999999999998</v>
      </c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</row>
    <row r="133" spans="1:77" ht="15.75" x14ac:dyDescent="0.25">
      <c r="A133" s="23"/>
      <c r="B133" s="25"/>
      <c r="C133" s="31"/>
      <c r="D133" s="28"/>
      <c r="E133" s="24"/>
      <c r="F133" s="25"/>
      <c r="G133" s="74"/>
      <c r="H133" s="76"/>
      <c r="I133" s="74"/>
      <c r="J133" s="22"/>
      <c r="K133" s="22"/>
      <c r="L133" s="22"/>
      <c r="M133" s="22"/>
      <c r="N133" s="22">
        <v>31</v>
      </c>
      <c r="O133" s="22">
        <v>235.7</v>
      </c>
      <c r="P133" s="22">
        <v>1785.4</v>
      </c>
      <c r="Q133" s="22"/>
      <c r="R133" s="22"/>
      <c r="S133" s="22"/>
      <c r="T133" s="22"/>
      <c r="U133" s="22"/>
      <c r="V133" s="22"/>
      <c r="W133" s="23"/>
      <c r="X133" s="23"/>
      <c r="Y133" s="25"/>
      <c r="Z133" s="24"/>
      <c r="AA133" s="28"/>
      <c r="AB133" s="24"/>
      <c r="AC133" s="25"/>
      <c r="AD133" s="23"/>
      <c r="AE133" s="23"/>
      <c r="AF133" s="23"/>
      <c r="AG133" s="23"/>
      <c r="AH133" s="23"/>
      <c r="AI133" s="22"/>
      <c r="AJ133" s="22"/>
      <c r="AK133" s="22"/>
      <c r="AL133" s="22"/>
      <c r="AM133" s="22"/>
      <c r="AN133" s="22"/>
      <c r="AO133" s="22"/>
      <c r="AP133" s="22"/>
      <c r="AQ133" s="22">
        <v>63</v>
      </c>
      <c r="AR133" s="22"/>
      <c r="AS133" s="22">
        <v>1.00915</v>
      </c>
      <c r="AT133" s="22">
        <v>2.9124999999999998E-2</v>
      </c>
      <c r="AU133" s="22">
        <v>19.88</v>
      </c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</row>
    <row r="134" spans="1:77" ht="15.75" x14ac:dyDescent="0.25">
      <c r="A134" s="23"/>
      <c r="B134" s="25"/>
      <c r="C134" s="31"/>
      <c r="D134" s="28"/>
      <c r="E134" s="24"/>
      <c r="F134" s="25"/>
      <c r="G134" s="74"/>
      <c r="H134" s="75">
        <f>-H132/((H137-H136)*G115)*3600</f>
        <v>27330.072773537799</v>
      </c>
      <c r="I134" s="74"/>
      <c r="J134" s="22"/>
      <c r="K134" s="22"/>
      <c r="L134" s="22"/>
      <c r="M134" s="22"/>
      <c r="N134" s="22">
        <v>33</v>
      </c>
      <c r="O134" s="22">
        <v>239.18</v>
      </c>
      <c r="P134" s="22">
        <v>1768.6</v>
      </c>
      <c r="Q134" s="22"/>
      <c r="R134" s="22"/>
      <c r="S134" s="22"/>
      <c r="T134" s="22"/>
      <c r="U134" s="22"/>
      <c r="V134" s="22"/>
      <c r="W134" s="23"/>
      <c r="X134" s="23"/>
      <c r="Y134" s="25"/>
      <c r="Z134" s="44" t="e">
        <f>(2*Z132/(Z114*0.001*Z110))^0.5</f>
        <v>#REF!</v>
      </c>
      <c r="AA134" s="28"/>
      <c r="AB134" s="48" t="e">
        <f>Z134/1000</f>
        <v>#REF!</v>
      </c>
      <c r="AC134" s="25"/>
      <c r="AD134" s="23"/>
      <c r="AE134" s="23" t="s">
        <v>35</v>
      </c>
      <c r="AF134" s="23"/>
      <c r="AG134" s="22"/>
      <c r="AH134" s="49">
        <f>IF(AF77=1,+AF57*2*20,0)</f>
        <v>0</v>
      </c>
      <c r="AI134" s="22"/>
      <c r="AJ134" s="22"/>
      <c r="AK134" s="22"/>
      <c r="AL134" s="22"/>
      <c r="AM134" s="22"/>
      <c r="AN134" s="22"/>
      <c r="AO134" s="22"/>
      <c r="AP134" s="22"/>
      <c r="AQ134" s="22">
        <v>64</v>
      </c>
      <c r="AR134" s="22"/>
      <c r="AS134" s="22">
        <v>1.0091999999999999</v>
      </c>
      <c r="AT134" s="22">
        <v>2.92E-2</v>
      </c>
      <c r="AU134" s="22">
        <v>19.93</v>
      </c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</row>
    <row r="135" spans="1:77" ht="15.75" x14ac:dyDescent="0.25">
      <c r="A135" s="23"/>
      <c r="B135" s="25"/>
      <c r="C135" s="31"/>
      <c r="D135" s="28"/>
      <c r="E135" s="24"/>
      <c r="F135" s="25"/>
      <c r="G135" s="74"/>
      <c r="H135" s="76">
        <f>+E24</f>
        <v>0</v>
      </c>
      <c r="I135" s="74" t="s">
        <v>58</v>
      </c>
      <c r="J135" s="22"/>
      <c r="K135" s="22"/>
      <c r="L135" s="22"/>
      <c r="M135" s="22"/>
      <c r="N135" s="22">
        <v>35</v>
      </c>
      <c r="O135" s="22">
        <v>242.5</v>
      </c>
      <c r="P135" s="22">
        <v>1752.2</v>
      </c>
      <c r="Q135" s="22"/>
      <c r="R135" s="22"/>
      <c r="S135" s="22"/>
      <c r="T135" s="22"/>
      <c r="U135" s="22"/>
      <c r="V135" s="22"/>
      <c r="W135" s="23"/>
      <c r="X135" s="23"/>
      <c r="Y135" s="25"/>
      <c r="Z135" s="44" t="e">
        <f>Z109+Z110/2</f>
        <v>#REF!</v>
      </c>
      <c r="AA135" s="28"/>
      <c r="AB135" s="48" t="e">
        <f>Z135/1000</f>
        <v>#REF!</v>
      </c>
      <c r="AC135" s="25"/>
      <c r="AD135" s="23"/>
      <c r="AE135" s="23" t="s">
        <v>36</v>
      </c>
      <c r="AF135" s="23"/>
      <c r="AG135" s="23"/>
      <c r="AH135" s="23"/>
      <c r="AI135" s="22"/>
      <c r="AJ135" s="22"/>
      <c r="AK135" s="22"/>
      <c r="AL135" s="22"/>
      <c r="AM135" s="22"/>
      <c r="AN135" s="22"/>
      <c r="AO135" s="22"/>
      <c r="AP135" s="22"/>
      <c r="AQ135" s="22">
        <v>65</v>
      </c>
      <c r="AR135" s="22"/>
      <c r="AS135" s="22">
        <v>1.00925</v>
      </c>
      <c r="AT135" s="22">
        <v>2.9274999999999999E-2</v>
      </c>
      <c r="AU135" s="22">
        <v>19.98</v>
      </c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</row>
    <row r="136" spans="1:77" ht="15.75" x14ac:dyDescent="0.25">
      <c r="A136" s="23"/>
      <c r="B136" s="25"/>
      <c r="C136" s="31"/>
      <c r="D136" s="28"/>
      <c r="E136" s="24"/>
      <c r="F136" s="25"/>
      <c r="G136" s="74"/>
      <c r="H136" s="76">
        <f>+E26</f>
        <v>2</v>
      </c>
      <c r="I136" s="74"/>
      <c r="J136" s="22"/>
      <c r="K136" s="22"/>
      <c r="L136" s="22"/>
      <c r="M136" s="22"/>
      <c r="N136" s="22">
        <v>37</v>
      </c>
      <c r="O136" s="22">
        <v>245</v>
      </c>
      <c r="P136" s="22">
        <v>1736.2</v>
      </c>
      <c r="Q136" s="22"/>
      <c r="R136" s="22"/>
      <c r="S136" s="22"/>
      <c r="T136" s="22"/>
      <c r="U136" s="22"/>
      <c r="V136" s="22"/>
      <c r="W136" s="23"/>
      <c r="X136" s="23"/>
      <c r="Y136" s="25"/>
      <c r="Z136" s="44" t="e">
        <f>Z134*Z106/(2*1000)</f>
        <v>#REF!</v>
      </c>
      <c r="AA136" s="28"/>
      <c r="AB136" s="24"/>
      <c r="AC136" s="25"/>
      <c r="AD136" s="23"/>
      <c r="AE136" s="23"/>
      <c r="AF136" s="23"/>
      <c r="AG136" s="23"/>
      <c r="AH136" s="23"/>
      <c r="AI136" s="22"/>
      <c r="AJ136" s="22"/>
      <c r="AK136" s="22"/>
      <c r="AL136" s="22"/>
      <c r="AM136" s="22"/>
      <c r="AN136" s="22"/>
      <c r="AO136" s="22"/>
      <c r="AP136" s="22"/>
      <c r="AQ136" s="22">
        <v>66</v>
      </c>
      <c r="AR136" s="22"/>
      <c r="AS136" s="22">
        <v>1.0092999999999999</v>
      </c>
      <c r="AT136" s="22">
        <v>2.9349999999999998E-2</v>
      </c>
      <c r="AU136" s="22">
        <v>20.03</v>
      </c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</row>
    <row r="137" spans="1:77" ht="15.75" x14ac:dyDescent="0.25">
      <c r="A137" s="23"/>
      <c r="B137" s="25"/>
      <c r="C137" s="24"/>
      <c r="D137" s="28"/>
      <c r="E137" s="24"/>
      <c r="F137" s="25"/>
      <c r="G137" s="74"/>
      <c r="H137" s="76">
        <f>+E28</f>
        <v>8</v>
      </c>
      <c r="I137" s="74"/>
      <c r="J137" s="22"/>
      <c r="K137" s="22"/>
      <c r="L137" s="22"/>
      <c r="M137" s="22"/>
      <c r="N137" s="22">
        <v>40</v>
      </c>
      <c r="O137" s="22">
        <v>250</v>
      </c>
      <c r="P137" s="22">
        <v>1712.9</v>
      </c>
      <c r="Q137" s="22"/>
      <c r="R137" s="22"/>
      <c r="S137" s="22"/>
      <c r="T137" s="22"/>
      <c r="U137" s="22"/>
      <c r="V137" s="22"/>
      <c r="W137" s="23"/>
      <c r="X137" s="23"/>
      <c r="Y137" s="25"/>
      <c r="Z137" s="44" t="e">
        <f>Z134*Z109/1000</f>
        <v>#REF!</v>
      </c>
      <c r="AA137" s="28"/>
      <c r="AB137" s="24"/>
      <c r="AC137" s="25"/>
      <c r="AD137" s="23"/>
      <c r="AE137" s="23" t="s">
        <v>37</v>
      </c>
      <c r="AF137" s="23"/>
      <c r="AG137" s="23"/>
      <c r="AH137" s="23" t="e">
        <f>AH133+AH131+AH111+AH103+AH134</f>
        <v>#REF!</v>
      </c>
      <c r="AI137" s="23"/>
      <c r="AJ137" s="22"/>
      <c r="AK137" s="22"/>
      <c r="AL137" s="22"/>
      <c r="AM137" s="22"/>
      <c r="AN137" s="22"/>
      <c r="AO137" s="22"/>
      <c r="AP137" s="22"/>
      <c r="AQ137" s="22">
        <v>67</v>
      </c>
      <c r="AR137" s="22"/>
      <c r="AS137" s="22">
        <v>1.00935</v>
      </c>
      <c r="AT137" s="22">
        <v>2.9425E-2</v>
      </c>
      <c r="AU137" s="22">
        <v>20.079999999999998</v>
      </c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</row>
    <row r="138" spans="1:77" ht="15" x14ac:dyDescent="0.2">
      <c r="A138" s="23"/>
      <c r="B138" s="25"/>
      <c r="C138" s="44"/>
      <c r="D138" s="28"/>
      <c r="E138" s="24"/>
      <c r="F138" s="25"/>
      <c r="G138" s="74"/>
      <c r="H138" s="74"/>
      <c r="I138" s="74"/>
      <c r="J138" s="22"/>
      <c r="K138" s="22"/>
      <c r="L138" s="22"/>
      <c r="M138" s="22"/>
      <c r="N138" s="22">
        <v>42</v>
      </c>
      <c r="O138" s="22">
        <v>253</v>
      </c>
      <c r="P138" s="22">
        <v>1697.8</v>
      </c>
      <c r="Q138" s="22"/>
      <c r="R138" s="22"/>
      <c r="S138" s="22"/>
      <c r="T138" s="22"/>
      <c r="U138" s="22"/>
      <c r="V138" s="22"/>
      <c r="W138" s="23"/>
      <c r="X138" s="23"/>
      <c r="Y138" s="25"/>
      <c r="Z138" s="44" t="e">
        <f>Z134*Z135/1000</f>
        <v>#REF!</v>
      </c>
      <c r="AA138" s="28"/>
      <c r="AB138" s="24"/>
      <c r="AC138" s="25"/>
      <c r="AD138" s="23"/>
      <c r="AE138" s="23"/>
      <c r="AF138" s="23"/>
      <c r="AG138" s="23"/>
      <c r="AH138" s="23"/>
      <c r="AI138" s="23"/>
      <c r="AJ138" s="22"/>
      <c r="AK138" s="22"/>
      <c r="AL138" s="22"/>
      <c r="AM138" s="22"/>
      <c r="AN138" s="22"/>
      <c r="AO138" s="22"/>
      <c r="AP138" s="22"/>
      <c r="AQ138" s="22">
        <v>68</v>
      </c>
      <c r="AR138" s="22"/>
      <c r="AS138" s="22">
        <v>1.0093999999999999</v>
      </c>
      <c r="AT138" s="22">
        <v>2.9499999999999998E-2</v>
      </c>
      <c r="AU138" s="22">
        <v>20.13</v>
      </c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</row>
    <row r="139" spans="1:77" ht="15.75" x14ac:dyDescent="0.25">
      <c r="A139" s="23"/>
      <c r="B139" s="25"/>
      <c r="C139" s="24"/>
      <c r="D139" s="28"/>
      <c r="E139" s="24"/>
      <c r="F139" s="25"/>
      <c r="G139" s="74"/>
      <c r="H139" s="76"/>
      <c r="I139" s="74"/>
      <c r="J139" s="22"/>
      <c r="K139" s="22"/>
      <c r="L139" s="22"/>
      <c r="M139" s="22"/>
      <c r="N139" s="22">
        <v>45</v>
      </c>
      <c r="O139" s="22">
        <v>257</v>
      </c>
      <c r="P139" s="22">
        <v>1675.6</v>
      </c>
      <c r="Q139" s="22"/>
      <c r="R139" s="22"/>
      <c r="S139" s="22"/>
      <c r="T139" s="22"/>
      <c r="U139" s="22"/>
      <c r="V139" s="22"/>
      <c r="W139" s="23"/>
      <c r="X139" s="23"/>
      <c r="Y139" s="25"/>
      <c r="Z139" s="31" t="e">
        <f>(EXP(Z137)-EXP(-Z137))/(EXP(Z137)+EXP(-Z137))</f>
        <v>#REF!</v>
      </c>
      <c r="AA139" s="28"/>
      <c r="AB139" s="24"/>
      <c r="AC139" s="25"/>
      <c r="AD139" s="23"/>
      <c r="AE139" s="24" t="s">
        <v>38</v>
      </c>
      <c r="AF139" s="24"/>
      <c r="AG139" s="23"/>
      <c r="AH139" s="24" t="e">
        <f>AF57*AF56*0.001*AF70</f>
        <v>#REF!</v>
      </c>
      <c r="AI139" s="23"/>
      <c r="AJ139" s="22"/>
      <c r="AK139" s="22"/>
      <c r="AL139" s="22"/>
      <c r="AM139" s="22"/>
      <c r="AN139" s="22"/>
      <c r="AO139" s="22"/>
      <c r="AP139" s="22"/>
      <c r="AQ139" s="22">
        <v>69</v>
      </c>
      <c r="AR139" s="22"/>
      <c r="AS139" s="22">
        <v>1.00945</v>
      </c>
      <c r="AT139" s="22">
        <v>2.9575000000000001E-2</v>
      </c>
      <c r="AU139" s="22">
        <v>20.18</v>
      </c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</row>
    <row r="140" spans="1:77" ht="15.75" x14ac:dyDescent="0.25">
      <c r="A140" s="64"/>
      <c r="B140" s="63"/>
      <c r="C140" s="44"/>
      <c r="D140" s="28"/>
      <c r="E140" s="24"/>
      <c r="F140" s="25"/>
      <c r="G140" s="74"/>
      <c r="H140" s="80">
        <f>(G102/1.4)^0.5*1000</f>
        <v>826.63985064034046</v>
      </c>
      <c r="I140" s="74" t="s">
        <v>57</v>
      </c>
      <c r="J140" s="22"/>
      <c r="K140" s="22"/>
      <c r="L140" s="22"/>
      <c r="M140" s="22"/>
      <c r="N140" s="22">
        <v>47</v>
      </c>
      <c r="O140" s="22">
        <v>260</v>
      </c>
      <c r="P140" s="22">
        <v>1661.1</v>
      </c>
      <c r="Q140" s="22"/>
      <c r="R140" s="22"/>
      <c r="S140" s="22"/>
      <c r="T140" s="22"/>
      <c r="U140" s="22"/>
      <c r="V140" s="22"/>
      <c r="W140" s="23"/>
      <c r="X140" s="23"/>
      <c r="Y140" s="25"/>
      <c r="Z140" s="31" t="e">
        <f>(EXP(Z138)-EXP(-Z138))/(EXP(Z138)+EXP(-Z138))</f>
        <v>#REF!</v>
      </c>
      <c r="AA140" s="28"/>
      <c r="AB140" s="24"/>
      <c r="AC140" s="25"/>
      <c r="AD140" s="23"/>
      <c r="AE140" s="23"/>
      <c r="AF140" s="23"/>
      <c r="AG140" s="23"/>
      <c r="AH140" s="23"/>
      <c r="AI140" s="23"/>
      <c r="AJ140" s="22"/>
      <c r="AK140" s="22"/>
      <c r="AL140" s="22"/>
      <c r="AM140" s="22"/>
      <c r="AN140" s="22"/>
      <c r="AO140" s="22"/>
      <c r="AP140" s="22"/>
      <c r="AQ140" s="22">
        <v>70</v>
      </c>
      <c r="AR140" s="22"/>
      <c r="AS140" s="22">
        <v>1.0095000000000001</v>
      </c>
      <c r="AT140" s="22">
        <v>2.9649999999999999E-2</v>
      </c>
      <c r="AU140" s="22">
        <v>20.23</v>
      </c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</row>
    <row r="141" spans="1:77" ht="15.75" x14ac:dyDescent="0.25">
      <c r="A141" s="64"/>
      <c r="B141" s="63"/>
      <c r="C141" s="44"/>
      <c r="D141" s="28"/>
      <c r="E141" s="24"/>
      <c r="F141" s="25"/>
      <c r="G141" s="74"/>
      <c r="H141" s="80">
        <f>H140*1.4</f>
        <v>1157.2957908964765</v>
      </c>
      <c r="I141" s="74" t="s">
        <v>57</v>
      </c>
      <c r="J141" s="22"/>
      <c r="K141" s="22"/>
      <c r="L141" s="22"/>
      <c r="M141" s="22"/>
      <c r="N141" s="22">
        <v>50</v>
      </c>
      <c r="O141" s="22">
        <v>264</v>
      </c>
      <c r="P141" s="22">
        <v>1639.7</v>
      </c>
      <c r="Q141" s="22"/>
      <c r="R141" s="22"/>
      <c r="S141" s="22"/>
      <c r="T141" s="22"/>
      <c r="U141" s="22"/>
      <c r="V141" s="22"/>
      <c r="W141" s="23"/>
      <c r="X141" s="23"/>
      <c r="Y141" s="25"/>
      <c r="Z141" s="31" t="e">
        <f>Z140*(1+Z140/(2*Z136)-0.071882*Z139^3.7482/Z136^1.481)</f>
        <v>#REF!</v>
      </c>
      <c r="AA141" s="28"/>
      <c r="AB141" s="24"/>
      <c r="AC141" s="25"/>
      <c r="AD141" s="23"/>
      <c r="AE141" s="23" t="s">
        <v>39</v>
      </c>
      <c r="AF141" s="23"/>
      <c r="AG141" s="23"/>
      <c r="AH141" s="23"/>
      <c r="AI141" s="23"/>
      <c r="AJ141" s="22"/>
      <c r="AK141" s="22"/>
      <c r="AL141" s="22"/>
      <c r="AM141" s="22"/>
      <c r="AN141" s="22"/>
      <c r="AO141" s="22"/>
      <c r="AP141" s="22"/>
      <c r="AQ141" s="22">
        <v>71</v>
      </c>
      <c r="AR141" s="22"/>
      <c r="AS141" s="22">
        <v>1.0095499999999999</v>
      </c>
      <c r="AT141" s="22">
        <v>2.9724999999999998E-2</v>
      </c>
      <c r="AU141" s="22">
        <v>20.28</v>
      </c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</row>
    <row r="142" spans="1:77" ht="15" x14ac:dyDescent="0.2">
      <c r="A142" s="64"/>
      <c r="B142" s="63"/>
      <c r="C142" s="45"/>
      <c r="D142" s="28"/>
      <c r="E142" s="24"/>
      <c r="F142" s="25"/>
      <c r="G142" s="74"/>
      <c r="H142" s="74"/>
      <c r="I142" s="74"/>
      <c r="J142" s="22"/>
      <c r="K142" s="22"/>
      <c r="L142" s="22"/>
      <c r="M142" s="22"/>
      <c r="N142" s="22">
        <v>55</v>
      </c>
      <c r="O142" s="22" t="s">
        <v>12</v>
      </c>
      <c r="P142" s="22" t="s">
        <v>12</v>
      </c>
      <c r="Q142" s="22"/>
      <c r="R142" s="22"/>
      <c r="S142" s="22"/>
      <c r="T142" s="22"/>
      <c r="U142" s="22"/>
      <c r="V142" s="22"/>
      <c r="W142" s="23"/>
      <c r="X142" s="23"/>
      <c r="Y142" s="25"/>
      <c r="Z142" s="31" t="e">
        <f>(AC111+2/AB134*Z141)/(Z111+(Z106+Z109+Z110)*2*Z109/Z106+Z110^2/(2*Z106))</f>
        <v>#REF!</v>
      </c>
      <c r="AA142" s="28"/>
      <c r="AB142" s="24"/>
      <c r="AC142" s="25"/>
      <c r="AD142" s="23"/>
      <c r="AE142" s="23" t="s">
        <v>40</v>
      </c>
      <c r="AF142" s="23"/>
      <c r="AG142" s="23"/>
      <c r="AH142" s="50" t="e">
        <f>AJ53+#REF!+AJ56+AJ57</f>
        <v>#REF!</v>
      </c>
      <c r="AI142" s="23" t="e">
        <f>+AH142/(0.62*0.9)</f>
        <v>#REF!</v>
      </c>
      <c r="AJ142" s="22"/>
      <c r="AK142" s="22"/>
      <c r="AL142" s="22"/>
      <c r="AM142" s="22"/>
      <c r="AN142" s="22"/>
      <c r="AO142" s="22"/>
      <c r="AP142" s="22"/>
      <c r="AQ142" s="22">
        <v>72</v>
      </c>
      <c r="AR142" s="22"/>
      <c r="AS142" s="22">
        <v>1.0096000000000001</v>
      </c>
      <c r="AT142" s="22">
        <v>2.98E-2</v>
      </c>
      <c r="AU142" s="22">
        <v>20.329999999999998</v>
      </c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</row>
    <row r="143" spans="1:77" ht="15.75" x14ac:dyDescent="0.25">
      <c r="A143" s="64"/>
      <c r="B143" s="63"/>
      <c r="C143" s="45"/>
      <c r="D143" s="28"/>
      <c r="E143" s="24"/>
      <c r="F143" s="25"/>
      <c r="G143" s="74"/>
      <c r="H143" s="80">
        <f>G120+600</f>
        <v>1159.1990511737581</v>
      </c>
      <c r="I143" s="74" t="s">
        <v>57</v>
      </c>
      <c r="J143" s="22"/>
      <c r="K143" s="22"/>
      <c r="L143" s="22"/>
      <c r="M143" s="22"/>
      <c r="N143" s="22">
        <v>56.5</v>
      </c>
      <c r="O143" s="22" t="s">
        <v>12</v>
      </c>
      <c r="P143" s="22" t="s">
        <v>12</v>
      </c>
      <c r="Q143" s="22"/>
      <c r="R143" s="22"/>
      <c r="S143" s="22"/>
      <c r="T143" s="22"/>
      <c r="U143" s="22"/>
      <c r="V143" s="22"/>
      <c r="W143" s="23"/>
      <c r="X143" s="23"/>
      <c r="Y143" s="25"/>
      <c r="Z143" s="31">
        <f>(AC112-1)/(AC113-0.5)</f>
        <v>0.86666666666666692</v>
      </c>
      <c r="AA143" s="28"/>
      <c r="AB143" s="24"/>
      <c r="AC143" s="25"/>
      <c r="AD143" s="23"/>
      <c r="AE143" s="23"/>
      <c r="AF143" s="23"/>
      <c r="AG143" s="23"/>
      <c r="AH143" s="23"/>
      <c r="AI143" s="23"/>
      <c r="AJ143" s="22"/>
      <c r="AK143" s="22"/>
      <c r="AL143" s="22"/>
      <c r="AM143" s="22"/>
      <c r="AN143" s="22"/>
      <c r="AO143" s="22"/>
      <c r="AP143" s="22"/>
      <c r="AQ143" s="22">
        <v>73</v>
      </c>
      <c r="AR143" s="22"/>
      <c r="AS143" s="22">
        <v>1.0096499999999999</v>
      </c>
      <c r="AT143" s="22">
        <v>2.9874999999999999E-2</v>
      </c>
      <c r="AU143" s="22">
        <v>20.38</v>
      </c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</row>
    <row r="144" spans="1:77" ht="15" x14ac:dyDescent="0.2">
      <c r="A144" s="64"/>
      <c r="B144" s="63"/>
      <c r="C144" s="25"/>
      <c r="D144" s="40"/>
      <c r="E144" s="25"/>
      <c r="F144" s="25"/>
      <c r="G144" s="74"/>
      <c r="H144" s="74"/>
      <c r="I144" s="74"/>
      <c r="J144" s="22"/>
      <c r="K144" s="22"/>
      <c r="L144" s="22"/>
      <c r="M144" s="22"/>
      <c r="N144" s="22">
        <v>57</v>
      </c>
      <c r="O144" s="22" t="s">
        <v>12</v>
      </c>
      <c r="P144" s="22" t="s">
        <v>12</v>
      </c>
      <c r="Q144" s="22"/>
      <c r="R144" s="22"/>
      <c r="S144" s="22"/>
      <c r="T144" s="22"/>
      <c r="U144" s="22"/>
      <c r="V144" s="22"/>
      <c r="W144" s="23"/>
      <c r="X144" s="23"/>
      <c r="Y144" s="25"/>
      <c r="Z144" s="31">
        <f>1+0.1685*EXP(-0.646*ABS((LN(Z143)-1.1513)))</f>
        <v>1.0730214186881857</v>
      </c>
      <c r="AA144" s="28" t="s">
        <v>18</v>
      </c>
      <c r="AB144" s="24"/>
      <c r="AC144" s="25"/>
      <c r="AD144" s="23"/>
      <c r="AE144" s="24" t="s">
        <v>41</v>
      </c>
      <c r="AF144" s="24"/>
      <c r="AG144" s="24"/>
      <c r="AH144" s="24" t="e">
        <f>AH137+AH139-AH142</f>
        <v>#REF!</v>
      </c>
      <c r="AI144" s="23" t="e">
        <f>+AH144/(0.62*0.92)</f>
        <v>#REF!</v>
      </c>
      <c r="AJ144" s="22"/>
      <c r="AK144" s="22"/>
      <c r="AL144" s="22"/>
      <c r="AM144" s="22"/>
      <c r="AN144" s="22"/>
      <c r="AO144" s="22"/>
      <c r="AP144" s="22"/>
      <c r="AQ144" s="22">
        <v>74</v>
      </c>
      <c r="AR144" s="22"/>
      <c r="AS144" s="22">
        <v>1.0097</v>
      </c>
      <c r="AT144" s="22">
        <v>2.9950000000000001E-2</v>
      </c>
      <c r="AU144" s="22">
        <v>20.43</v>
      </c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</row>
    <row r="145" spans="1:77" ht="15" x14ac:dyDescent="0.2">
      <c r="A145" s="64"/>
      <c r="B145" s="63"/>
      <c r="C145" s="25"/>
      <c r="D145" s="40"/>
      <c r="E145" s="25"/>
      <c r="F145" s="25"/>
      <c r="G145" s="74"/>
      <c r="H145" s="74"/>
      <c r="I145" s="74"/>
      <c r="J145" s="22"/>
      <c r="K145" s="22"/>
      <c r="L145" s="22"/>
      <c r="M145" s="22"/>
      <c r="N145" s="22">
        <v>58</v>
      </c>
      <c r="O145" s="22" t="s">
        <v>12</v>
      </c>
      <c r="P145" s="22" t="s">
        <v>12</v>
      </c>
      <c r="Q145" s="22"/>
      <c r="R145" s="22"/>
      <c r="S145" s="22"/>
      <c r="T145" s="22"/>
      <c r="U145" s="22"/>
      <c r="V145" s="22"/>
      <c r="W145" s="23"/>
      <c r="X145" s="23"/>
      <c r="Y145" s="25"/>
      <c r="Z145" s="31">
        <f>4/PI()*AC112-1/AC113</f>
        <v>2.4284509528908735</v>
      </c>
      <c r="AA145" s="28"/>
      <c r="AB145" s="24"/>
      <c r="AC145" s="25"/>
      <c r="AD145" s="23"/>
      <c r="AE145" s="23"/>
      <c r="AF145" s="23"/>
      <c r="AG145" s="23"/>
      <c r="AH145" s="23"/>
      <c r="AI145" s="23"/>
      <c r="AJ145" s="22"/>
      <c r="AK145" s="23"/>
      <c r="AL145" s="22"/>
      <c r="AM145" s="22"/>
      <c r="AN145" s="22"/>
      <c r="AO145" s="22"/>
      <c r="AP145" s="22"/>
      <c r="AQ145" s="22">
        <v>75</v>
      </c>
      <c r="AR145" s="22"/>
      <c r="AS145" s="22">
        <v>1.0097499999999999</v>
      </c>
      <c r="AT145" s="22">
        <v>3.0025E-2</v>
      </c>
      <c r="AU145" s="22">
        <v>20.48</v>
      </c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</row>
    <row r="146" spans="1:77" ht="15.75" x14ac:dyDescent="0.25">
      <c r="A146" s="64"/>
      <c r="B146" s="63"/>
      <c r="C146" s="32"/>
      <c r="D146" s="28"/>
      <c r="E146" s="24"/>
      <c r="F146" s="25"/>
      <c r="G146" s="74"/>
      <c r="H146" s="23"/>
      <c r="I146" s="75">
        <f>(8000+G119*200*(2000/H122)^0.28)/0.5</f>
        <v>106904.26682049481</v>
      </c>
      <c r="J146" s="22"/>
      <c r="K146" s="22"/>
      <c r="L146" s="22"/>
      <c r="M146" s="22"/>
      <c r="N146" s="22">
        <v>59</v>
      </c>
      <c r="O146" s="22" t="s">
        <v>12</v>
      </c>
      <c r="P146" s="22" t="s">
        <v>12</v>
      </c>
      <c r="Q146" s="22"/>
      <c r="R146" s="22"/>
      <c r="S146" s="22"/>
      <c r="T146" s="22"/>
      <c r="U146" s="22"/>
      <c r="V146" s="22"/>
      <c r="W146" s="23"/>
      <c r="X146" s="23"/>
      <c r="Y146" s="25"/>
      <c r="Z146" s="31">
        <f>(1+0.2367*EXP(-0.1*(LN(Z145)+0.6)))*Z144</f>
        <v>1.2919064416960202</v>
      </c>
      <c r="AA146" s="28"/>
      <c r="AB146" s="24"/>
      <c r="AC146" s="25"/>
      <c r="AD146" s="23"/>
      <c r="AE146" s="22"/>
      <c r="AF146" s="22"/>
      <c r="AG146" s="22"/>
      <c r="AH146" s="22"/>
      <c r="AI146" s="22"/>
      <c r="AJ146" s="22"/>
      <c r="AK146" s="23"/>
      <c r="AL146" s="22"/>
      <c r="AM146" s="22"/>
      <c r="AN146" s="22"/>
      <c r="AO146" s="22"/>
      <c r="AP146" s="22"/>
      <c r="AQ146" s="22">
        <v>76</v>
      </c>
      <c r="AR146" s="22"/>
      <c r="AS146" s="22">
        <v>1.0098</v>
      </c>
      <c r="AT146" s="22">
        <v>3.0099999999999998E-2</v>
      </c>
      <c r="AU146" s="22">
        <v>20.53</v>
      </c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</row>
    <row r="147" spans="1:77" x14ac:dyDescent="0.2">
      <c r="A147" s="64"/>
      <c r="B147" s="63"/>
      <c r="C147" s="24"/>
      <c r="D147" s="28"/>
      <c r="E147" s="24"/>
      <c r="F147" s="25"/>
      <c r="G147" s="23"/>
      <c r="H147" s="23"/>
      <c r="I147" s="22"/>
      <c r="J147" s="22"/>
      <c r="K147" s="22"/>
      <c r="L147" s="22"/>
      <c r="M147" s="22"/>
      <c r="N147" s="22">
        <v>60</v>
      </c>
      <c r="O147" s="22" t="s">
        <v>12</v>
      </c>
      <c r="P147" s="22" t="s">
        <v>12</v>
      </c>
      <c r="Q147" s="22"/>
      <c r="R147" s="22"/>
      <c r="S147" s="22"/>
      <c r="T147" s="22"/>
      <c r="U147" s="22"/>
      <c r="V147" s="22"/>
      <c r="W147" s="23"/>
      <c r="X147" s="23"/>
      <c r="Y147" s="25"/>
      <c r="Z147" s="31" t="e">
        <f>(AC111/(Z106+Z109))^0.51*(Z109/Z112)^0.52*(Z110/Z111)^1.4</f>
        <v>#REF!</v>
      </c>
      <c r="AA147" s="28"/>
      <c r="AB147" s="24"/>
      <c r="AC147" s="25"/>
      <c r="AD147" s="23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>
        <v>77</v>
      </c>
      <c r="AR147" s="22"/>
      <c r="AS147" s="22">
        <v>1.0098499999999999</v>
      </c>
      <c r="AT147" s="22">
        <v>3.0175E-2</v>
      </c>
      <c r="AU147" s="22">
        <v>20.58</v>
      </c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</row>
    <row r="148" spans="1:77" x14ac:dyDescent="0.2">
      <c r="A148" s="64"/>
      <c r="B148" s="63"/>
      <c r="C148" s="24"/>
      <c r="D148" s="28"/>
      <c r="E148" s="24"/>
      <c r="F148" s="25"/>
      <c r="G148" s="23"/>
      <c r="H148" s="23"/>
      <c r="I148" s="22"/>
      <c r="J148" s="22"/>
      <c r="K148" s="22"/>
      <c r="L148" s="22"/>
      <c r="M148" s="22"/>
      <c r="N148" s="22">
        <v>63.3</v>
      </c>
      <c r="O148" s="22" t="s">
        <v>12</v>
      </c>
      <c r="P148" s="22" t="s">
        <v>12</v>
      </c>
      <c r="Q148" s="22"/>
      <c r="R148" s="22"/>
      <c r="S148" s="22"/>
      <c r="T148" s="22"/>
      <c r="U148" s="22"/>
      <c r="V148" s="22"/>
      <c r="W148" s="23"/>
      <c r="X148" s="23"/>
      <c r="Y148" s="25"/>
      <c r="Z148" s="31" t="e">
        <f>1-EXP(-38*Z147)+Z146*EXP(-80*Z147)</f>
        <v>#REF!</v>
      </c>
      <c r="AA148" s="28"/>
      <c r="AB148" s="24"/>
      <c r="AC148" s="25"/>
      <c r="AD148" s="23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>
        <v>78</v>
      </c>
      <c r="AR148" s="22"/>
      <c r="AS148" s="22">
        <v>1.0099</v>
      </c>
      <c r="AT148" s="22">
        <v>3.0249999999999999E-2</v>
      </c>
      <c r="AU148" s="22">
        <v>20.63</v>
      </c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</row>
    <row r="149" spans="1:77" x14ac:dyDescent="0.2">
      <c r="A149" s="64"/>
      <c r="B149" s="63"/>
      <c r="C149" s="32"/>
      <c r="D149" s="28"/>
      <c r="E149" s="24"/>
      <c r="F149" s="25"/>
      <c r="G149" s="23"/>
      <c r="H149" s="23"/>
      <c r="I149" s="22"/>
      <c r="J149" s="22"/>
      <c r="K149" s="22"/>
      <c r="L149" s="22"/>
      <c r="M149" s="22"/>
      <c r="N149" s="22">
        <v>90</v>
      </c>
      <c r="O149" s="22" t="s">
        <v>12</v>
      </c>
      <c r="P149" s="22" t="s">
        <v>12</v>
      </c>
      <c r="Q149" s="22"/>
      <c r="R149" s="22"/>
      <c r="S149" s="22"/>
      <c r="T149" s="22"/>
      <c r="U149" s="22"/>
      <c r="V149" s="22"/>
      <c r="W149" s="23"/>
      <c r="X149" s="23"/>
      <c r="Y149" s="25"/>
      <c r="Z149" s="44" t="e">
        <f>Z130*Z142*Z148</f>
        <v>#REF!</v>
      </c>
      <c r="AA149" s="28"/>
      <c r="AB149" s="24"/>
      <c r="AC149" s="25"/>
      <c r="AD149" s="23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>
        <v>79</v>
      </c>
      <c r="AR149" s="22"/>
      <c r="AS149" s="22">
        <v>1.0099499999999999</v>
      </c>
      <c r="AT149" s="22">
        <v>3.0325000000000001E-2</v>
      </c>
      <c r="AU149" s="22">
        <v>20.68</v>
      </c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</row>
    <row r="150" spans="1:77" x14ac:dyDescent="0.2">
      <c r="A150" s="64"/>
      <c r="B150" s="63"/>
      <c r="C150" s="32"/>
      <c r="D150" s="28"/>
      <c r="E150" s="24"/>
      <c r="F150" s="25"/>
      <c r="G150" s="23"/>
      <c r="H150" s="23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3"/>
      <c r="X150" s="23"/>
      <c r="Y150" s="25"/>
      <c r="Z150" s="25" t="e">
        <f>Z149*Z72/Z123</f>
        <v>#REF!</v>
      </c>
      <c r="AA150" s="40"/>
      <c r="AB150" s="25"/>
      <c r="AC150" s="25"/>
      <c r="AD150" s="23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>
        <v>80</v>
      </c>
      <c r="AR150" s="22"/>
      <c r="AS150" s="22">
        <v>1.01</v>
      </c>
      <c r="AT150" s="22">
        <v>3.04E-2</v>
      </c>
      <c r="AU150" s="22">
        <v>20.73</v>
      </c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</row>
    <row r="151" spans="1:77" x14ac:dyDescent="0.2">
      <c r="A151" s="64"/>
      <c r="B151" s="63"/>
      <c r="C151" s="32"/>
      <c r="D151" s="28"/>
      <c r="E151" s="24"/>
      <c r="F151" s="46"/>
      <c r="G151" s="23"/>
      <c r="H151" s="23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3"/>
      <c r="X151" s="23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>
        <v>81</v>
      </c>
      <c r="AR151" s="22"/>
      <c r="AS151" s="22">
        <v>1.0101</v>
      </c>
      <c r="AT151" s="22">
        <v>3.0470000000000001E-2</v>
      </c>
      <c r="AU151" s="22">
        <v>20.773500000000002</v>
      </c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</row>
    <row r="152" spans="1:77" x14ac:dyDescent="0.2">
      <c r="A152" s="64"/>
      <c r="B152" s="63"/>
      <c r="C152" s="32"/>
      <c r="D152" s="28"/>
      <c r="E152" s="24"/>
      <c r="F152" s="46"/>
      <c r="G152" s="23"/>
      <c r="H152" s="23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3"/>
      <c r="X152" s="23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>
        <v>82</v>
      </c>
      <c r="AR152" s="22"/>
      <c r="AS152" s="22">
        <v>1.0102</v>
      </c>
      <c r="AT152" s="22">
        <v>3.0540000000000001E-2</v>
      </c>
      <c r="AU152" s="22">
        <v>20.817</v>
      </c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</row>
    <row r="153" spans="1:77" x14ac:dyDescent="0.2">
      <c r="A153" s="64"/>
      <c r="B153" s="63"/>
      <c r="C153" s="32"/>
      <c r="D153" s="28"/>
      <c r="E153" s="24"/>
      <c r="F153" s="46"/>
      <c r="G153" s="23"/>
      <c r="H153" s="23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3"/>
      <c r="X153" s="23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>
        <v>83</v>
      </c>
      <c r="AR153" s="22"/>
      <c r="AS153" s="22">
        <v>1.0103</v>
      </c>
      <c r="AT153" s="22">
        <v>3.0610000000000002E-2</v>
      </c>
      <c r="AU153" s="22">
        <v>20.860500000000002</v>
      </c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</row>
    <row r="154" spans="1:77" x14ac:dyDescent="0.2">
      <c r="A154" s="64"/>
      <c r="B154" s="63"/>
      <c r="C154" s="24"/>
      <c r="D154" s="28"/>
      <c r="E154" s="24"/>
      <c r="F154" s="46"/>
      <c r="G154" s="23"/>
      <c r="H154" s="23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3"/>
      <c r="X154" s="23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>
        <v>84</v>
      </c>
      <c r="AR154" s="22"/>
      <c r="AS154" s="22">
        <v>1.0104</v>
      </c>
      <c r="AT154" s="22">
        <v>3.0679999999999999E-2</v>
      </c>
      <c r="AU154" s="22">
        <v>20.904</v>
      </c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</row>
    <row r="155" spans="1:77" x14ac:dyDescent="0.2">
      <c r="A155" s="64"/>
      <c r="B155" s="63"/>
      <c r="C155" s="24"/>
      <c r="D155" s="28"/>
      <c r="E155" s="24"/>
      <c r="F155" s="25"/>
      <c r="G155" s="23"/>
      <c r="H155" s="23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3"/>
      <c r="X155" s="23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>
        <v>85</v>
      </c>
      <c r="AR155" s="22"/>
      <c r="AS155" s="22">
        <v>1.0105</v>
      </c>
      <c r="AT155" s="22">
        <v>3.075E-2</v>
      </c>
      <c r="AU155" s="22">
        <v>20.947500000000002</v>
      </c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</row>
    <row r="156" spans="1:77" x14ac:dyDescent="0.2">
      <c r="A156" s="64"/>
      <c r="B156" s="63"/>
      <c r="C156" s="44"/>
      <c r="D156" s="28"/>
      <c r="E156" s="24"/>
      <c r="F156" s="25"/>
      <c r="G156" s="23"/>
      <c r="H156" s="23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3"/>
      <c r="X156" s="25"/>
      <c r="Y156" s="25"/>
      <c r="Z156" s="40"/>
      <c r="AA156" s="25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>
        <v>86</v>
      </c>
      <c r="AR156" s="22"/>
      <c r="AS156" s="22">
        <v>1.0105999999999999</v>
      </c>
      <c r="AT156" s="22">
        <v>3.082E-2</v>
      </c>
      <c r="AU156" s="22">
        <v>20.991</v>
      </c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</row>
    <row r="157" spans="1:77" x14ac:dyDescent="0.2">
      <c r="A157" s="64"/>
      <c r="B157" s="63"/>
      <c r="C157" s="25"/>
      <c r="D157" s="40"/>
      <c r="E157" s="25"/>
      <c r="F157" s="25"/>
      <c r="G157" s="23"/>
      <c r="H157" s="23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3"/>
      <c r="X157" s="23"/>
      <c r="Y157" s="23"/>
      <c r="Z157" s="23"/>
      <c r="AA157" s="23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>
        <v>87</v>
      </c>
      <c r="AR157" s="22"/>
      <c r="AS157" s="22">
        <v>1.0106999999999999</v>
      </c>
      <c r="AT157" s="22">
        <v>3.0890000000000001E-2</v>
      </c>
      <c r="AU157" s="22">
        <v>21.034500000000001</v>
      </c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</row>
    <row r="158" spans="1:77" x14ac:dyDescent="0.2">
      <c r="A158" s="64"/>
      <c r="B158" s="63"/>
      <c r="C158" s="44"/>
      <c r="D158" s="28"/>
      <c r="E158" s="24"/>
      <c r="F158" s="25"/>
      <c r="G158" s="23"/>
      <c r="H158" s="23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3"/>
      <c r="X158" s="23"/>
      <c r="Y158" s="23"/>
      <c r="Z158" s="23"/>
      <c r="AA158" s="23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>
        <v>88</v>
      </c>
      <c r="AR158" s="22"/>
      <c r="AS158" s="22">
        <v>1.0107999999999999</v>
      </c>
      <c r="AT158" s="22">
        <v>3.0960000000000001E-2</v>
      </c>
      <c r="AU158" s="22">
        <v>21.077999999999999</v>
      </c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</row>
    <row r="159" spans="1:77" x14ac:dyDescent="0.2">
      <c r="A159" s="64"/>
      <c r="B159" s="63"/>
      <c r="C159" s="44"/>
      <c r="D159" s="28"/>
      <c r="E159" s="24"/>
      <c r="F159" s="25"/>
      <c r="G159" s="23"/>
      <c r="H159" s="23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>
        <v>89</v>
      </c>
      <c r="AR159" s="22"/>
      <c r="AS159" s="22">
        <v>1.0108999999999999</v>
      </c>
      <c r="AT159" s="22">
        <v>3.1030000000000002E-2</v>
      </c>
      <c r="AU159" s="22">
        <v>21.121500000000001</v>
      </c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</row>
    <row r="160" spans="1:77" x14ac:dyDescent="0.2">
      <c r="A160" s="64"/>
      <c r="B160" s="63"/>
      <c r="C160" s="44"/>
      <c r="D160" s="28"/>
      <c r="E160" s="28"/>
      <c r="F160" s="25"/>
      <c r="G160" s="23"/>
      <c r="H160" s="23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>
        <v>90</v>
      </c>
      <c r="AR160" s="22"/>
      <c r="AS160" s="22">
        <v>1.0110000000000001</v>
      </c>
      <c r="AT160" s="22">
        <v>3.1100000000000003E-2</v>
      </c>
      <c r="AU160" s="22">
        <v>21.164999999999999</v>
      </c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</row>
    <row r="161" spans="1:77" x14ac:dyDescent="0.2">
      <c r="A161" s="64"/>
      <c r="B161" s="63"/>
      <c r="C161" s="44"/>
      <c r="D161" s="28"/>
      <c r="E161" s="24"/>
      <c r="F161" s="25"/>
      <c r="G161" s="23"/>
      <c r="H161" s="23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>
        <v>91</v>
      </c>
      <c r="AR161" s="22"/>
      <c r="AS161" s="22">
        <v>1.0111000000000001</v>
      </c>
      <c r="AT161" s="22">
        <v>3.117E-2</v>
      </c>
      <c r="AU161" s="22">
        <v>21.208500000000001</v>
      </c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</row>
    <row r="162" spans="1:77" x14ac:dyDescent="0.2">
      <c r="A162" s="64"/>
      <c r="B162" s="63"/>
      <c r="C162" s="44"/>
      <c r="D162" s="28"/>
      <c r="E162" s="24"/>
      <c r="F162" s="25"/>
      <c r="G162" s="23"/>
      <c r="H162" s="23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>
        <v>92</v>
      </c>
      <c r="AR162" s="22"/>
      <c r="AS162" s="22">
        <v>1.0112000000000001</v>
      </c>
      <c r="AT162" s="22">
        <v>3.124E-2</v>
      </c>
      <c r="AU162" s="22">
        <v>21.252000000000002</v>
      </c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</row>
    <row r="163" spans="1:77" x14ac:dyDescent="0.2">
      <c r="A163" s="64"/>
      <c r="B163" s="63"/>
      <c r="C163" s="47"/>
      <c r="D163" s="28"/>
      <c r="E163" s="24"/>
      <c r="F163" s="25"/>
      <c r="G163" s="23"/>
      <c r="H163" s="23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>
        <v>93</v>
      </c>
      <c r="AR163" s="22"/>
      <c r="AS163" s="22">
        <v>1.0113000000000001</v>
      </c>
      <c r="AT163" s="22">
        <v>3.1310000000000004E-2</v>
      </c>
      <c r="AU163" s="22">
        <v>21.295500000000001</v>
      </c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</row>
    <row r="164" spans="1:77" x14ac:dyDescent="0.2">
      <c r="A164" s="64"/>
      <c r="B164" s="63"/>
      <c r="C164" s="24"/>
      <c r="D164" s="28"/>
      <c r="E164" s="24"/>
      <c r="F164" s="25"/>
      <c r="G164" s="23"/>
      <c r="H164" s="23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>
        <v>94</v>
      </c>
      <c r="AR164" s="22"/>
      <c r="AS164" s="22">
        <v>1.0114000000000001</v>
      </c>
      <c r="AT164" s="22">
        <v>3.1379999999999998E-2</v>
      </c>
      <c r="AU164" s="22">
        <v>21.339000000000002</v>
      </c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</row>
    <row r="165" spans="1:77" x14ac:dyDescent="0.2">
      <c r="A165" s="64"/>
      <c r="B165" s="63"/>
      <c r="C165" s="24"/>
      <c r="D165" s="28"/>
      <c r="E165" s="24"/>
      <c r="F165" s="25"/>
      <c r="G165" s="23"/>
      <c r="H165" s="23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>
        <v>95</v>
      </c>
      <c r="AR165" s="22"/>
      <c r="AS165" s="22">
        <v>1.0115000000000001</v>
      </c>
      <c r="AT165" s="22">
        <v>3.1449999999999999E-2</v>
      </c>
      <c r="AU165" s="22">
        <v>21.3825</v>
      </c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</row>
    <row r="166" spans="1:77" x14ac:dyDescent="0.2">
      <c r="A166" s="64"/>
      <c r="B166" s="63"/>
      <c r="C166" s="44"/>
      <c r="D166" s="28"/>
      <c r="E166" s="24"/>
      <c r="F166" s="25"/>
      <c r="G166" s="23"/>
      <c r="H166" s="23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>
        <v>96</v>
      </c>
      <c r="AR166" s="22"/>
      <c r="AS166" s="22">
        <v>1.0116000000000001</v>
      </c>
      <c r="AT166" s="22">
        <v>3.1519999999999999E-2</v>
      </c>
      <c r="AU166" s="22">
        <v>21.426000000000002</v>
      </c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</row>
    <row r="167" spans="1:77" x14ac:dyDescent="0.2">
      <c r="A167" s="64"/>
      <c r="B167" s="63"/>
      <c r="C167" s="44"/>
      <c r="D167" s="28"/>
      <c r="E167" s="24"/>
      <c r="F167" s="25"/>
      <c r="G167" s="23"/>
      <c r="H167" s="23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>
        <v>97</v>
      </c>
      <c r="AR167" s="22"/>
      <c r="AS167" s="22">
        <v>1.0117</v>
      </c>
      <c r="AT167" s="22">
        <v>3.159E-2</v>
      </c>
      <c r="AU167" s="22">
        <v>21.4695</v>
      </c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</row>
    <row r="168" spans="1:77" x14ac:dyDescent="0.2">
      <c r="A168" s="64"/>
      <c r="B168" s="63"/>
      <c r="C168" s="44"/>
      <c r="D168" s="28"/>
      <c r="E168" s="24"/>
      <c r="F168" s="25"/>
      <c r="G168" s="23"/>
      <c r="H168" s="23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>
        <v>98</v>
      </c>
      <c r="AR168" s="22"/>
      <c r="AS168" s="22">
        <v>1.0118</v>
      </c>
      <c r="AT168" s="22">
        <v>3.1660000000000001E-2</v>
      </c>
      <c r="AU168" s="22">
        <v>21.513000000000002</v>
      </c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</row>
    <row r="169" spans="1:77" x14ac:dyDescent="0.2">
      <c r="A169" s="64"/>
      <c r="B169" s="63"/>
      <c r="C169" s="44"/>
      <c r="D169" s="28"/>
      <c r="E169" s="24"/>
      <c r="F169" s="25"/>
      <c r="G169" s="23"/>
      <c r="H169" s="23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>
        <v>99</v>
      </c>
      <c r="AR169" s="22"/>
      <c r="AS169" s="22">
        <v>1.0119</v>
      </c>
      <c r="AT169" s="22">
        <v>3.1730000000000001E-2</v>
      </c>
      <c r="AU169" s="22">
        <v>21.5565</v>
      </c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</row>
    <row r="170" spans="1:77" x14ac:dyDescent="0.2">
      <c r="A170" s="64"/>
      <c r="B170" s="63"/>
      <c r="C170" s="44"/>
      <c r="D170" s="28"/>
      <c r="E170" s="24"/>
      <c r="F170" s="25"/>
      <c r="G170" s="23"/>
      <c r="H170" s="23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>
        <v>100</v>
      </c>
      <c r="AR170" s="22"/>
      <c r="AS170" s="22">
        <v>1.012</v>
      </c>
      <c r="AT170" s="22">
        <v>3.1800000000000002E-2</v>
      </c>
      <c r="AU170" s="22">
        <v>21.6</v>
      </c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</row>
    <row r="171" spans="1:77" x14ac:dyDescent="0.2">
      <c r="A171" s="64"/>
      <c r="B171" s="63"/>
      <c r="C171" s="44"/>
      <c r="D171" s="28"/>
      <c r="E171" s="24"/>
      <c r="F171" s="25"/>
      <c r="G171" s="23"/>
      <c r="H171" s="23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>
        <v>101</v>
      </c>
      <c r="AR171" s="22"/>
      <c r="AS171" s="22">
        <v>1.0121</v>
      </c>
      <c r="AT171" s="22">
        <v>3.1870000000000002E-2</v>
      </c>
      <c r="AU171" s="22">
        <v>21.641500000000001</v>
      </c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</row>
    <row r="172" spans="1:77" x14ac:dyDescent="0.2">
      <c r="A172" s="64"/>
      <c r="B172" s="63"/>
      <c r="C172" s="44"/>
      <c r="D172" s="28"/>
      <c r="E172" s="24"/>
      <c r="F172" s="25"/>
      <c r="G172" s="23"/>
      <c r="H172" s="23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>
        <v>102</v>
      </c>
      <c r="AR172" s="22"/>
      <c r="AS172" s="22">
        <v>1.0122</v>
      </c>
      <c r="AT172" s="22">
        <v>3.1940000000000003E-2</v>
      </c>
      <c r="AU172" s="22">
        <v>21.683</v>
      </c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</row>
    <row r="173" spans="1:77" x14ac:dyDescent="0.2">
      <c r="A173" s="64"/>
      <c r="B173" s="63"/>
      <c r="C173" s="24"/>
      <c r="D173" s="28"/>
      <c r="E173" s="24"/>
      <c r="F173" s="25"/>
      <c r="G173" s="23"/>
      <c r="H173" s="23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>
        <v>103</v>
      </c>
      <c r="AR173" s="22"/>
      <c r="AS173" s="22">
        <v>1.0123</v>
      </c>
      <c r="AT173" s="22">
        <v>3.2010000000000004E-2</v>
      </c>
      <c r="AU173" s="22">
        <v>21.724500000000003</v>
      </c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</row>
    <row r="174" spans="1:77" x14ac:dyDescent="0.2">
      <c r="A174" s="64"/>
      <c r="B174" s="63"/>
      <c r="C174" s="44"/>
      <c r="D174" s="28"/>
      <c r="E174" s="48"/>
      <c r="F174" s="25"/>
      <c r="G174" s="23"/>
      <c r="H174" s="23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>
        <v>104</v>
      </c>
      <c r="AR174" s="22"/>
      <c r="AS174" s="22">
        <v>1.0124</v>
      </c>
      <c r="AT174" s="22">
        <v>3.2080000000000004E-2</v>
      </c>
      <c r="AU174" s="22">
        <v>21.766000000000002</v>
      </c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</row>
    <row r="175" spans="1:77" x14ac:dyDescent="0.2">
      <c r="A175" s="64"/>
      <c r="B175" s="63"/>
      <c r="C175" s="44"/>
      <c r="D175" s="28"/>
      <c r="E175" s="48"/>
      <c r="F175" s="25"/>
      <c r="G175" s="23"/>
      <c r="H175" s="23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>
        <v>105</v>
      </c>
      <c r="AR175" s="22"/>
      <c r="AS175" s="22">
        <v>1.0125</v>
      </c>
      <c r="AT175" s="22">
        <v>3.2149999999999998E-2</v>
      </c>
      <c r="AU175" s="22">
        <v>21.807500000000001</v>
      </c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</row>
    <row r="176" spans="1:77" x14ac:dyDescent="0.2">
      <c r="A176" s="64"/>
      <c r="B176" s="63"/>
      <c r="C176" s="44"/>
      <c r="D176" s="28"/>
      <c r="E176" s="24"/>
      <c r="F176" s="25"/>
      <c r="G176" s="23"/>
      <c r="H176" s="23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>
        <v>106</v>
      </c>
      <c r="AR176" s="22"/>
      <c r="AS176" s="22">
        <v>1.0125999999999999</v>
      </c>
      <c r="AT176" s="22">
        <v>3.2219999999999999E-2</v>
      </c>
      <c r="AU176" s="22">
        <v>21.849</v>
      </c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</row>
    <row r="177" spans="1:71" x14ac:dyDescent="0.2">
      <c r="A177" s="64"/>
      <c r="B177" s="63"/>
      <c r="C177" s="44"/>
      <c r="D177" s="28"/>
      <c r="E177" s="24"/>
      <c r="F177" s="25"/>
      <c r="G177" s="23"/>
      <c r="H177" s="23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>
        <v>107</v>
      </c>
      <c r="AR177" s="22"/>
      <c r="AS177" s="22">
        <v>1.0126999999999999</v>
      </c>
      <c r="AT177" s="22">
        <v>3.2289999999999999E-2</v>
      </c>
      <c r="AU177" s="22">
        <v>21.890499999999999</v>
      </c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</row>
    <row r="178" spans="1:71" x14ac:dyDescent="0.2">
      <c r="A178" s="64"/>
      <c r="B178" s="63"/>
      <c r="C178" s="44"/>
      <c r="D178" s="28"/>
      <c r="E178" s="24"/>
      <c r="F178" s="25"/>
      <c r="G178" s="23"/>
      <c r="H178" s="23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>
        <v>108</v>
      </c>
      <c r="AR178" s="22"/>
      <c r="AS178" s="22">
        <v>1.0127999999999999</v>
      </c>
      <c r="AT178" s="22">
        <v>3.236E-2</v>
      </c>
      <c r="AU178" s="22">
        <v>21.932000000000002</v>
      </c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</row>
    <row r="179" spans="1:71" x14ac:dyDescent="0.2">
      <c r="A179" s="64"/>
      <c r="B179" s="63"/>
      <c r="C179" s="31"/>
      <c r="D179" s="28"/>
      <c r="E179" s="24"/>
      <c r="F179" s="25"/>
      <c r="G179" s="23"/>
      <c r="H179" s="23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>
        <v>109</v>
      </c>
      <c r="AR179" s="22"/>
      <c r="AS179" s="22">
        <v>1.0128999999999999</v>
      </c>
      <c r="AT179" s="22">
        <v>3.243E-2</v>
      </c>
      <c r="AU179" s="22">
        <v>21.973500000000001</v>
      </c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</row>
    <row r="180" spans="1:71" x14ac:dyDescent="0.2">
      <c r="A180" s="64"/>
      <c r="B180" s="63"/>
      <c r="C180" s="31"/>
      <c r="D180" s="28"/>
      <c r="E180" s="24"/>
      <c r="F180" s="25"/>
      <c r="G180" s="23"/>
      <c r="H180" s="23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>
        <v>110</v>
      </c>
      <c r="AR180" s="22"/>
      <c r="AS180" s="22">
        <v>1.0129999999999999</v>
      </c>
      <c r="AT180" s="22">
        <v>3.2500000000000001E-2</v>
      </c>
      <c r="AU180" s="22">
        <v>22.015000000000001</v>
      </c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</row>
    <row r="181" spans="1:71" x14ac:dyDescent="0.2">
      <c r="A181" s="64"/>
      <c r="B181" s="63"/>
      <c r="C181" s="31"/>
      <c r="D181" s="28"/>
      <c r="E181" s="24"/>
      <c r="F181" s="25"/>
      <c r="G181" s="23"/>
      <c r="H181" s="23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>
        <v>111</v>
      </c>
      <c r="AR181" s="22"/>
      <c r="AS181" s="22">
        <v>1.0131000000000001</v>
      </c>
      <c r="AT181" s="22">
        <v>3.2570000000000002E-2</v>
      </c>
      <c r="AU181" s="22">
        <v>22.0565</v>
      </c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</row>
    <row r="182" spans="1:71" x14ac:dyDescent="0.2">
      <c r="A182" s="64"/>
      <c r="B182" s="63"/>
      <c r="C182" s="31"/>
      <c r="D182" s="28"/>
      <c r="E182" s="24"/>
      <c r="F182" s="25"/>
      <c r="G182" s="23"/>
      <c r="H182" s="23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>
        <v>112</v>
      </c>
      <c r="AR182" s="22"/>
      <c r="AS182" s="22">
        <v>1.0132000000000001</v>
      </c>
      <c r="AT182" s="22">
        <v>3.2640000000000002E-2</v>
      </c>
      <c r="AU182" s="22">
        <v>22.097999999999999</v>
      </c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</row>
    <row r="183" spans="1:71" x14ac:dyDescent="0.2">
      <c r="A183" s="64"/>
      <c r="B183" s="64"/>
      <c r="C183" s="31"/>
      <c r="D183" s="28"/>
      <c r="E183" s="24"/>
      <c r="F183" s="25"/>
      <c r="G183" s="23"/>
      <c r="H183" s="23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>
        <v>113</v>
      </c>
      <c r="AR183" s="22"/>
      <c r="AS183" s="22">
        <v>1.0133000000000001</v>
      </c>
      <c r="AT183" s="22">
        <v>3.2710000000000003E-2</v>
      </c>
      <c r="AU183" s="22">
        <v>22.139500000000002</v>
      </c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</row>
    <row r="184" spans="1:71" x14ac:dyDescent="0.2">
      <c r="A184" s="64"/>
      <c r="B184" s="64"/>
      <c r="C184" s="31"/>
      <c r="D184" s="28"/>
      <c r="E184" s="24"/>
      <c r="F184" s="25"/>
      <c r="G184" s="23"/>
      <c r="H184" s="23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>
        <v>114</v>
      </c>
      <c r="AR184" s="22"/>
      <c r="AS184" s="22">
        <v>1.0134000000000001</v>
      </c>
      <c r="AT184" s="22">
        <v>3.2780000000000004E-2</v>
      </c>
      <c r="AU184" s="22">
        <v>22.181000000000001</v>
      </c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</row>
    <row r="185" spans="1:71" x14ac:dyDescent="0.2">
      <c r="A185" s="64"/>
      <c r="B185" s="64"/>
      <c r="C185" s="31"/>
      <c r="D185" s="28"/>
      <c r="E185" s="24"/>
      <c r="F185" s="25"/>
      <c r="G185" s="23"/>
      <c r="H185" s="23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>
        <v>115</v>
      </c>
      <c r="AR185" s="22"/>
      <c r="AS185" s="22">
        <v>1.0135000000000001</v>
      </c>
      <c r="AT185" s="22">
        <v>3.2850000000000004E-2</v>
      </c>
      <c r="AU185" s="22">
        <v>22.2225</v>
      </c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</row>
    <row r="186" spans="1:71" x14ac:dyDescent="0.2">
      <c r="A186" s="64"/>
      <c r="B186" s="64"/>
      <c r="C186" s="31"/>
      <c r="D186" s="28"/>
      <c r="E186" s="24"/>
      <c r="F186" s="25"/>
      <c r="G186" s="23"/>
      <c r="H186" s="23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>
        <v>116</v>
      </c>
      <c r="AR186" s="22"/>
      <c r="AS186" s="22">
        <v>1.0136000000000001</v>
      </c>
      <c r="AT186" s="22">
        <v>3.2919999999999998E-2</v>
      </c>
      <c r="AU186" s="22">
        <v>22.263999999999999</v>
      </c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</row>
    <row r="187" spans="1:71" x14ac:dyDescent="0.2">
      <c r="A187" s="64"/>
      <c r="B187" s="64"/>
      <c r="C187" s="31"/>
      <c r="D187" s="28"/>
      <c r="E187" s="24"/>
      <c r="F187" s="25"/>
      <c r="G187" s="23"/>
      <c r="H187" s="23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>
        <v>117</v>
      </c>
      <c r="AR187" s="22"/>
      <c r="AS187" s="22">
        <v>1.0137</v>
      </c>
      <c r="AT187" s="22">
        <v>3.2989999999999998E-2</v>
      </c>
      <c r="AU187" s="22">
        <v>22.305499999999999</v>
      </c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</row>
    <row r="188" spans="1:71" x14ac:dyDescent="0.2">
      <c r="A188" s="64"/>
      <c r="B188" s="64"/>
      <c r="C188" s="31"/>
      <c r="D188" s="28"/>
      <c r="E188" s="24"/>
      <c r="F188" s="25"/>
      <c r="G188" s="23"/>
      <c r="H188" s="23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>
        <v>118</v>
      </c>
      <c r="AR188" s="22"/>
      <c r="AS188" s="22">
        <v>1.0138</v>
      </c>
      <c r="AT188" s="22">
        <v>3.3059999999999999E-2</v>
      </c>
      <c r="AU188" s="22">
        <v>22.347000000000001</v>
      </c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</row>
    <row r="189" spans="1:71" x14ac:dyDescent="0.2">
      <c r="A189" s="64"/>
      <c r="B189" s="64"/>
      <c r="C189" s="44"/>
      <c r="D189" s="28"/>
      <c r="E189" s="24"/>
      <c r="F189" s="25"/>
      <c r="G189" s="23"/>
      <c r="H189" s="23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>
        <v>119</v>
      </c>
      <c r="AR189" s="22"/>
      <c r="AS189" s="22">
        <v>1.0139</v>
      </c>
      <c r="AT189" s="22">
        <v>3.313E-2</v>
      </c>
      <c r="AU189" s="22">
        <v>22.388500000000001</v>
      </c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</row>
    <row r="190" spans="1:71" x14ac:dyDescent="0.2">
      <c r="A190" s="64"/>
      <c r="B190" s="64"/>
      <c r="C190" s="25"/>
      <c r="D190" s="40"/>
      <c r="E190" s="25"/>
      <c r="F190" s="25"/>
      <c r="G190" s="23"/>
      <c r="H190" s="23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>
        <v>120</v>
      </c>
      <c r="AR190" s="22"/>
      <c r="AS190" s="22">
        <v>1.014</v>
      </c>
      <c r="AT190" s="22">
        <v>3.32E-2</v>
      </c>
      <c r="AU190" s="22">
        <v>22.43</v>
      </c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</row>
    <row r="191" spans="1:71" x14ac:dyDescent="0.2">
      <c r="A191" s="64"/>
      <c r="B191" s="64"/>
      <c r="C191" s="23"/>
      <c r="D191" s="23"/>
      <c r="E191" s="23"/>
      <c r="F191" s="23"/>
      <c r="G191" s="23"/>
      <c r="H191" s="23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>
        <v>121</v>
      </c>
      <c r="AR191" s="22"/>
      <c r="AS191" s="22">
        <v>1.0141500000000001</v>
      </c>
      <c r="AT191" s="22">
        <v>3.3274999999999999E-2</v>
      </c>
      <c r="AU191" s="22">
        <v>22.468</v>
      </c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</row>
    <row r="192" spans="1:71" x14ac:dyDescent="0.2">
      <c r="A192" s="64"/>
      <c r="B192" s="64"/>
      <c r="C192" s="23"/>
      <c r="D192" s="23"/>
      <c r="E192" s="23"/>
      <c r="F192" s="23"/>
      <c r="G192" s="23"/>
      <c r="H192" s="23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>
        <v>122</v>
      </c>
      <c r="AR192" s="22"/>
      <c r="AS192" s="22">
        <v>1.0143</v>
      </c>
      <c r="AT192" s="22">
        <v>3.3349999999999998E-2</v>
      </c>
      <c r="AU192" s="22">
        <v>22.506</v>
      </c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</row>
    <row r="193" spans="1:71" x14ac:dyDescent="0.2">
      <c r="A193" s="64"/>
      <c r="B193" s="64"/>
      <c r="C193" s="23"/>
      <c r="D193" s="23"/>
      <c r="E193" s="23"/>
      <c r="F193" s="23"/>
      <c r="G193" s="23"/>
      <c r="H193" s="23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>
        <v>123</v>
      </c>
      <c r="AR193" s="22"/>
      <c r="AS193" s="22">
        <v>1.0144500000000001</v>
      </c>
      <c r="AT193" s="22">
        <v>3.3425000000000003E-2</v>
      </c>
      <c r="AU193" s="22">
        <v>22.544</v>
      </c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</row>
    <row r="194" spans="1:71" x14ac:dyDescent="0.2">
      <c r="A194" s="64"/>
      <c r="B194" s="64"/>
      <c r="C194" s="23"/>
      <c r="D194" s="23"/>
      <c r="E194" s="23"/>
      <c r="F194" s="23"/>
      <c r="G194" s="23"/>
      <c r="H194" s="23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>
        <v>124</v>
      </c>
      <c r="AR194" s="22"/>
      <c r="AS194" s="22">
        <v>1.0145999999999999</v>
      </c>
      <c r="AT194" s="22">
        <v>3.3500000000000002E-2</v>
      </c>
      <c r="AU194" s="22">
        <v>22.582000000000001</v>
      </c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</row>
    <row r="195" spans="1:71" x14ac:dyDescent="0.2">
      <c r="A195" s="64"/>
      <c r="B195" s="64"/>
      <c r="C195" s="23"/>
      <c r="D195" s="23"/>
      <c r="E195" s="23"/>
      <c r="F195" s="23"/>
      <c r="G195" s="23"/>
      <c r="H195" s="23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>
        <v>125</v>
      </c>
      <c r="AR195" s="22"/>
      <c r="AS195" s="22">
        <v>1.01475</v>
      </c>
      <c r="AT195" s="22">
        <v>3.3575000000000001E-2</v>
      </c>
      <c r="AU195" s="22">
        <v>22.62</v>
      </c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</row>
    <row r="196" spans="1:71" x14ac:dyDescent="0.2">
      <c r="A196" s="64"/>
      <c r="B196" s="64"/>
      <c r="C196" s="23"/>
      <c r="D196" s="23"/>
      <c r="E196" s="23"/>
      <c r="F196" s="23"/>
      <c r="G196" s="23"/>
      <c r="H196" s="23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>
        <v>126</v>
      </c>
      <c r="AR196" s="22"/>
      <c r="AS196" s="22">
        <v>1.0148999999999999</v>
      </c>
      <c r="AT196" s="22">
        <v>3.3649999999999999E-2</v>
      </c>
      <c r="AU196" s="22">
        <v>22.658000000000001</v>
      </c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</row>
    <row r="197" spans="1:71" x14ac:dyDescent="0.2">
      <c r="A197" s="64"/>
      <c r="B197" s="64"/>
      <c r="C197" s="81"/>
      <c r="D197" s="81"/>
      <c r="E197" s="81"/>
      <c r="F197" s="81"/>
      <c r="G197" s="81"/>
      <c r="H197" s="81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>
        <v>127</v>
      </c>
      <c r="AR197" s="22"/>
      <c r="AS197" s="22">
        <v>1.01505</v>
      </c>
      <c r="AT197" s="22">
        <v>3.3724999999999998E-2</v>
      </c>
      <c r="AU197" s="22">
        <v>22.696000000000002</v>
      </c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</row>
    <row r="198" spans="1:71" x14ac:dyDescent="0.2">
      <c r="A198" s="64"/>
      <c r="B198" s="64"/>
      <c r="C198" s="81"/>
      <c r="D198" s="81"/>
      <c r="E198" s="81"/>
      <c r="F198" s="81"/>
      <c r="G198" s="81"/>
      <c r="H198" s="81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>
        <v>128</v>
      </c>
      <c r="AR198" s="22"/>
      <c r="AS198" s="22">
        <v>1.0151999999999999</v>
      </c>
      <c r="AT198" s="22">
        <v>3.3800000000000004E-2</v>
      </c>
      <c r="AU198" s="22">
        <v>22.734000000000002</v>
      </c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</row>
    <row r="199" spans="1:71" x14ac:dyDescent="0.2">
      <c r="A199" s="64"/>
      <c r="B199" s="64"/>
      <c r="C199" s="81"/>
      <c r="D199" s="81"/>
      <c r="E199" s="81"/>
      <c r="F199" s="81"/>
      <c r="G199" s="81"/>
      <c r="H199" s="81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>
        <v>129</v>
      </c>
      <c r="AR199" s="22"/>
      <c r="AS199" s="22">
        <v>1.01535</v>
      </c>
      <c r="AT199" s="22">
        <v>3.3875000000000002E-2</v>
      </c>
      <c r="AU199" s="22">
        <v>22.772000000000002</v>
      </c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</row>
    <row r="200" spans="1:71" x14ac:dyDescent="0.2">
      <c r="A200" s="64"/>
      <c r="B200" s="64"/>
      <c r="C200" s="81"/>
      <c r="D200" s="81"/>
      <c r="E200" s="81"/>
      <c r="F200" s="81"/>
      <c r="G200" s="81"/>
      <c r="H200" s="81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>
        <v>130</v>
      </c>
      <c r="AR200" s="22"/>
      <c r="AS200" s="22">
        <v>1.0154999999999998</v>
      </c>
      <c r="AT200" s="22">
        <v>3.3950000000000001E-2</v>
      </c>
      <c r="AU200" s="22">
        <v>22.81</v>
      </c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</row>
    <row r="201" spans="1:71" x14ac:dyDescent="0.2">
      <c r="A201" s="64"/>
      <c r="B201" s="64"/>
      <c r="C201" s="81"/>
      <c r="D201" s="81"/>
      <c r="E201" s="81"/>
      <c r="F201" s="81"/>
      <c r="G201" s="81"/>
      <c r="H201" s="81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>
        <v>131</v>
      </c>
      <c r="AR201" s="22"/>
      <c r="AS201" s="22">
        <v>1.0156499999999999</v>
      </c>
      <c r="AT201" s="22">
        <v>3.4025E-2</v>
      </c>
      <c r="AU201" s="22">
        <v>22.847999999999999</v>
      </c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</row>
    <row r="202" spans="1:71" x14ac:dyDescent="0.2">
      <c r="A202" s="64"/>
      <c r="B202" s="64"/>
      <c r="C202" s="81"/>
      <c r="D202" s="81"/>
      <c r="E202" s="81"/>
      <c r="F202" s="81"/>
      <c r="G202" s="81"/>
      <c r="H202" s="81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>
        <v>132</v>
      </c>
      <c r="AR202" s="22"/>
      <c r="AS202" s="22">
        <v>1.0158</v>
      </c>
      <c r="AT202" s="22">
        <v>3.4099999999999998E-2</v>
      </c>
      <c r="AU202" s="22">
        <v>22.885999999999999</v>
      </c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</row>
    <row r="203" spans="1:71" x14ac:dyDescent="0.2">
      <c r="A203" s="64"/>
      <c r="B203" s="64"/>
      <c r="C203" s="81"/>
      <c r="D203" s="81"/>
      <c r="E203" s="81"/>
      <c r="F203" s="81"/>
      <c r="G203" s="81"/>
      <c r="H203" s="81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>
        <v>133</v>
      </c>
      <c r="AR203" s="22"/>
      <c r="AS203" s="22">
        <v>1.0159499999999999</v>
      </c>
      <c r="AT203" s="22">
        <v>3.4175000000000004E-2</v>
      </c>
      <c r="AU203" s="22">
        <v>22.923999999999999</v>
      </c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</row>
    <row r="204" spans="1:71" x14ac:dyDescent="0.2">
      <c r="A204" s="64"/>
      <c r="B204" s="64"/>
      <c r="C204" s="81"/>
      <c r="D204" s="81"/>
      <c r="E204" s="81"/>
      <c r="F204" s="81"/>
      <c r="G204" s="81"/>
      <c r="H204" s="81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>
        <v>134</v>
      </c>
      <c r="AR204" s="22"/>
      <c r="AS204" s="22">
        <v>1.0161</v>
      </c>
      <c r="AT204" s="22">
        <v>3.4250000000000003E-2</v>
      </c>
      <c r="AU204" s="22">
        <v>22.962</v>
      </c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</row>
    <row r="205" spans="1:71" x14ac:dyDescent="0.2">
      <c r="A205" s="64"/>
      <c r="B205" s="64"/>
      <c r="C205" s="81"/>
      <c r="D205" s="81"/>
      <c r="E205" s="81"/>
      <c r="F205" s="81"/>
      <c r="G205" s="81"/>
      <c r="H205" s="81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>
        <v>135</v>
      </c>
      <c r="AR205" s="22"/>
      <c r="AS205" s="22">
        <v>1.0162500000000001</v>
      </c>
      <c r="AT205" s="22">
        <v>3.4325000000000001E-2</v>
      </c>
      <c r="AU205" s="22">
        <v>23</v>
      </c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</row>
    <row r="206" spans="1:71" x14ac:dyDescent="0.2">
      <c r="A206" s="64"/>
      <c r="B206" s="64"/>
      <c r="C206" s="81"/>
      <c r="D206" s="81"/>
      <c r="E206" s="81"/>
      <c r="F206" s="81"/>
      <c r="G206" s="81"/>
      <c r="H206" s="81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>
        <v>136</v>
      </c>
      <c r="AR206" s="22"/>
      <c r="AS206" s="22">
        <v>1.0164</v>
      </c>
      <c r="AT206" s="22">
        <v>3.44E-2</v>
      </c>
      <c r="AU206" s="22">
        <v>23.038</v>
      </c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</row>
    <row r="207" spans="1:71" x14ac:dyDescent="0.2">
      <c r="A207" s="64"/>
      <c r="B207" s="64"/>
      <c r="C207" s="81"/>
      <c r="D207" s="81"/>
      <c r="E207" s="81"/>
      <c r="F207" s="81"/>
      <c r="G207" s="81"/>
      <c r="H207" s="81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>
        <v>137</v>
      </c>
      <c r="AR207" s="22"/>
      <c r="AS207" s="22">
        <v>1.0165499999999998</v>
      </c>
      <c r="AT207" s="22">
        <v>3.4474999999999999E-2</v>
      </c>
      <c r="AU207" s="22">
        <v>23.076000000000001</v>
      </c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</row>
    <row r="208" spans="1:71" x14ac:dyDescent="0.2">
      <c r="A208" s="64"/>
      <c r="B208" s="64"/>
      <c r="C208" s="81"/>
      <c r="D208" s="81"/>
      <c r="E208" s="81"/>
      <c r="F208" s="81"/>
      <c r="G208" s="81"/>
      <c r="H208" s="81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>
        <v>138</v>
      </c>
      <c r="AR208" s="22"/>
      <c r="AS208" s="22">
        <v>1.0166999999999999</v>
      </c>
      <c r="AT208" s="22">
        <v>3.4550000000000004E-2</v>
      </c>
      <c r="AU208" s="22">
        <v>23.114000000000001</v>
      </c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</row>
    <row r="209" spans="1:71" x14ac:dyDescent="0.2">
      <c r="A209" s="64"/>
      <c r="B209" s="64"/>
      <c r="C209" s="81"/>
      <c r="D209" s="81"/>
      <c r="E209" s="81"/>
      <c r="F209" s="81"/>
      <c r="G209" s="81"/>
      <c r="H209" s="81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>
        <v>139</v>
      </c>
      <c r="AR209" s="22"/>
      <c r="AS209" s="22">
        <v>1.0168499999999998</v>
      </c>
      <c r="AT209" s="22">
        <v>3.4625000000000003E-2</v>
      </c>
      <c r="AU209" s="22">
        <v>23.152000000000001</v>
      </c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</row>
    <row r="210" spans="1:71" x14ac:dyDescent="0.2">
      <c r="A210" s="64"/>
      <c r="B210" s="64"/>
      <c r="C210" s="81"/>
      <c r="D210" s="81"/>
      <c r="E210" s="81"/>
      <c r="F210" s="81"/>
      <c r="G210" s="81"/>
      <c r="H210" s="81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>
        <v>140</v>
      </c>
      <c r="AR210" s="22"/>
      <c r="AS210" s="22">
        <v>1.0169999999999999</v>
      </c>
      <c r="AT210" s="22">
        <v>3.4700000000000002E-2</v>
      </c>
      <c r="AU210" s="22">
        <v>23.19</v>
      </c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</row>
    <row r="211" spans="1:71" x14ac:dyDescent="0.2">
      <c r="A211" s="64"/>
      <c r="B211" s="64"/>
      <c r="C211" s="81"/>
      <c r="D211" s="81"/>
      <c r="E211" s="81"/>
      <c r="F211" s="81"/>
      <c r="G211" s="81"/>
      <c r="H211" s="81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>
        <v>141</v>
      </c>
      <c r="AR211" s="22"/>
      <c r="AS211" s="22">
        <v>1.01715</v>
      </c>
      <c r="AT211" s="22">
        <v>3.4770000000000002E-2</v>
      </c>
      <c r="AU211" s="22">
        <v>23.231000000000002</v>
      </c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</row>
    <row r="212" spans="1:71" x14ac:dyDescent="0.2">
      <c r="A212" s="64"/>
      <c r="B212" s="64"/>
      <c r="C212" s="81"/>
      <c r="D212" s="81"/>
      <c r="E212" s="81"/>
      <c r="F212" s="81"/>
      <c r="G212" s="81"/>
      <c r="H212" s="81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>
        <v>142</v>
      </c>
      <c r="AR212" s="22"/>
      <c r="AS212" s="22">
        <v>1.0172999999999999</v>
      </c>
      <c r="AT212" s="22">
        <v>3.4840000000000003E-2</v>
      </c>
      <c r="AU212" s="22">
        <v>23.272000000000002</v>
      </c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</row>
    <row r="213" spans="1:71" x14ac:dyDescent="0.2">
      <c r="A213" s="60"/>
      <c r="B213" s="64"/>
      <c r="C213" s="81"/>
      <c r="D213" s="81"/>
      <c r="E213" s="81"/>
      <c r="F213" s="81"/>
      <c r="G213" s="81"/>
      <c r="H213" s="81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>
        <v>143</v>
      </c>
      <c r="AR213" s="22"/>
      <c r="AS213" s="22">
        <v>1.01745</v>
      </c>
      <c r="AT213" s="22">
        <v>3.4910000000000004E-2</v>
      </c>
      <c r="AU213" s="22">
        <v>23.313000000000002</v>
      </c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</row>
    <row r="214" spans="1:71" x14ac:dyDescent="0.2">
      <c r="A214" s="60"/>
      <c r="B214" s="64"/>
      <c r="C214" s="81"/>
      <c r="D214" s="81"/>
      <c r="E214" s="81"/>
      <c r="F214" s="81"/>
      <c r="G214" s="81"/>
      <c r="H214" s="81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>
        <v>144</v>
      </c>
      <c r="AR214" s="22"/>
      <c r="AS214" s="22">
        <v>1.0175999999999998</v>
      </c>
      <c r="AT214" s="22">
        <v>3.4980000000000004E-2</v>
      </c>
      <c r="AU214" s="22">
        <v>23.354000000000003</v>
      </c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</row>
    <row r="215" spans="1:71" x14ac:dyDescent="0.2">
      <c r="A215" s="60"/>
      <c r="B215" s="60"/>
      <c r="C215" s="81"/>
      <c r="D215" s="81"/>
      <c r="E215" s="81"/>
      <c r="F215" s="81"/>
      <c r="G215" s="81"/>
      <c r="H215" s="81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>
        <v>145</v>
      </c>
      <c r="AR215" s="22"/>
      <c r="AS215" s="22">
        <v>1.0177499999999999</v>
      </c>
      <c r="AT215" s="22">
        <v>3.5049999999999998E-2</v>
      </c>
      <c r="AU215" s="22">
        <v>23.395</v>
      </c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</row>
    <row r="216" spans="1:71" x14ac:dyDescent="0.2">
      <c r="A216" s="60"/>
      <c r="B216" s="60"/>
      <c r="C216" s="81"/>
      <c r="D216" s="81"/>
      <c r="E216" s="81"/>
      <c r="F216" s="81"/>
      <c r="G216" s="81"/>
      <c r="H216" s="81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>
        <v>146</v>
      </c>
      <c r="AR216" s="22"/>
      <c r="AS216" s="22">
        <v>1.0179</v>
      </c>
      <c r="AT216" s="22">
        <v>3.5119999999999998E-2</v>
      </c>
      <c r="AU216" s="22">
        <v>23.436</v>
      </c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</row>
    <row r="217" spans="1:71" x14ac:dyDescent="0.2">
      <c r="A217" s="60"/>
      <c r="B217" s="60"/>
      <c r="C217" s="81"/>
      <c r="D217" s="81"/>
      <c r="E217" s="81"/>
      <c r="F217" s="81"/>
      <c r="G217" s="81"/>
      <c r="H217" s="81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>
        <v>147</v>
      </c>
      <c r="AR217" s="22"/>
      <c r="AS217" s="22">
        <v>1.0180499999999999</v>
      </c>
      <c r="AT217" s="22">
        <v>3.5189999999999999E-2</v>
      </c>
      <c r="AU217" s="22">
        <v>23.477</v>
      </c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</row>
    <row r="218" spans="1:71" x14ac:dyDescent="0.2">
      <c r="A218" s="60"/>
      <c r="B218" s="60"/>
      <c r="C218" s="81"/>
      <c r="D218" s="81"/>
      <c r="E218" s="81"/>
      <c r="F218" s="81"/>
      <c r="G218" s="81"/>
      <c r="H218" s="81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>
        <v>148</v>
      </c>
      <c r="AR218" s="22"/>
      <c r="AS218" s="22">
        <v>1.0182</v>
      </c>
      <c r="AT218" s="22">
        <v>3.526E-2</v>
      </c>
      <c r="AU218" s="22">
        <v>23.518000000000001</v>
      </c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</row>
    <row r="219" spans="1:71" x14ac:dyDescent="0.2">
      <c r="A219" s="60"/>
      <c r="B219" s="60"/>
      <c r="C219" s="81"/>
      <c r="D219" s="81"/>
      <c r="E219" s="81"/>
      <c r="F219" s="81"/>
      <c r="G219" s="81"/>
      <c r="H219" s="81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>
        <v>149</v>
      </c>
      <c r="AR219" s="22"/>
      <c r="AS219" s="22">
        <v>1.0183499999999999</v>
      </c>
      <c r="AT219" s="22">
        <v>3.533E-2</v>
      </c>
      <c r="AU219" s="22">
        <v>23.559000000000001</v>
      </c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</row>
    <row r="220" spans="1:71" x14ac:dyDescent="0.2">
      <c r="A220" s="60"/>
      <c r="B220" s="60"/>
      <c r="C220" s="81"/>
      <c r="D220" s="81"/>
      <c r="E220" s="81"/>
      <c r="F220" s="81"/>
      <c r="G220" s="81"/>
      <c r="H220" s="81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>
        <v>150</v>
      </c>
      <c r="AR220" s="22"/>
      <c r="AS220" s="22">
        <v>1.0185</v>
      </c>
      <c r="AT220" s="22">
        <v>3.5400000000000001E-2</v>
      </c>
      <c r="AU220" s="22">
        <v>23.6</v>
      </c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</row>
    <row r="221" spans="1:71" x14ac:dyDescent="0.2">
      <c r="A221" s="60"/>
      <c r="B221" s="60"/>
      <c r="C221" s="23"/>
      <c r="D221" s="23"/>
      <c r="E221" s="23"/>
      <c r="F221" s="23"/>
      <c r="G221" s="23"/>
      <c r="H221" s="23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>
        <v>151</v>
      </c>
      <c r="AR221" s="22"/>
      <c r="AS221" s="22">
        <v>1.0186500000000001</v>
      </c>
      <c r="AT221" s="22">
        <v>3.5470000000000002E-2</v>
      </c>
      <c r="AU221" s="22">
        <v>23.641000000000002</v>
      </c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</row>
    <row r="222" spans="1:71" x14ac:dyDescent="0.2">
      <c r="A222" s="60"/>
      <c r="B222" s="60"/>
      <c r="C222" s="23"/>
      <c r="D222" s="23"/>
      <c r="E222" s="23"/>
      <c r="F222" s="23"/>
      <c r="G222" s="23"/>
      <c r="H222" s="23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>
        <v>152</v>
      </c>
      <c r="AR222" s="22"/>
      <c r="AS222" s="22">
        <v>1.0187999999999999</v>
      </c>
      <c r="AT222" s="22">
        <v>3.5540000000000002E-2</v>
      </c>
      <c r="AU222" s="22">
        <v>23.682000000000002</v>
      </c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</row>
    <row r="223" spans="1:71" x14ac:dyDescent="0.2">
      <c r="A223" s="60"/>
      <c r="B223" s="60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>
        <v>153</v>
      </c>
      <c r="AR223" s="22"/>
      <c r="AS223" s="22">
        <v>1.01895</v>
      </c>
      <c r="AT223" s="22">
        <v>3.5610000000000003E-2</v>
      </c>
      <c r="AU223" s="22">
        <v>23.723000000000003</v>
      </c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</row>
    <row r="224" spans="1:71" x14ac:dyDescent="0.2">
      <c r="A224" s="60"/>
      <c r="B224" s="60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>
        <v>154</v>
      </c>
      <c r="AR224" s="22"/>
      <c r="AS224" s="22">
        <v>1.0190999999999999</v>
      </c>
      <c r="AT224" s="22">
        <v>3.5680000000000003E-2</v>
      </c>
      <c r="AU224" s="22">
        <v>23.764000000000003</v>
      </c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</row>
    <row r="225" spans="1:71" x14ac:dyDescent="0.2">
      <c r="A225" s="60"/>
      <c r="B225" s="60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>
        <v>155</v>
      </c>
      <c r="AR225" s="22"/>
      <c r="AS225" s="22">
        <v>1.01925</v>
      </c>
      <c r="AT225" s="22">
        <v>3.5750000000000004E-2</v>
      </c>
      <c r="AU225" s="22">
        <v>23.805</v>
      </c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</row>
    <row r="226" spans="1:71" x14ac:dyDescent="0.2">
      <c r="A226" s="60"/>
      <c r="B226" s="60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>
        <v>156</v>
      </c>
      <c r="AR226" s="22"/>
      <c r="AS226" s="22">
        <v>1.0194000000000001</v>
      </c>
      <c r="AT226" s="22">
        <v>3.5819999999999998E-2</v>
      </c>
      <c r="AU226" s="22">
        <v>23.846</v>
      </c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</row>
    <row r="227" spans="1:71" x14ac:dyDescent="0.2">
      <c r="A227" s="60"/>
      <c r="B227" s="60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>
        <v>157</v>
      </c>
      <c r="AR227" s="22"/>
      <c r="AS227" s="22">
        <v>1.01955</v>
      </c>
      <c r="AT227" s="22">
        <v>3.5889999999999998E-2</v>
      </c>
      <c r="AU227" s="22">
        <v>23.887</v>
      </c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</row>
    <row r="228" spans="1:71" x14ac:dyDescent="0.2">
      <c r="A228" s="60"/>
      <c r="B228" s="60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>
        <v>158</v>
      </c>
      <c r="AR228" s="22"/>
      <c r="AS228" s="22">
        <v>1.0197000000000001</v>
      </c>
      <c r="AT228" s="22">
        <v>3.5959999999999999E-2</v>
      </c>
      <c r="AU228" s="22">
        <v>23.928000000000001</v>
      </c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</row>
    <row r="229" spans="1:71" x14ac:dyDescent="0.2">
      <c r="A229" s="60"/>
      <c r="B229" s="60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>
        <v>159</v>
      </c>
      <c r="AR229" s="22"/>
      <c r="AS229" s="22">
        <v>1.0198499999999999</v>
      </c>
      <c r="AT229" s="22">
        <v>3.603E-2</v>
      </c>
      <c r="AU229" s="22">
        <v>23.969000000000001</v>
      </c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</row>
    <row r="230" spans="1:71" x14ac:dyDescent="0.2">
      <c r="A230" s="60"/>
      <c r="B230" s="60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>
        <v>160</v>
      </c>
      <c r="AR230" s="22"/>
      <c r="AS230" s="22">
        <v>1.02</v>
      </c>
      <c r="AT230" s="22">
        <v>3.61E-2</v>
      </c>
      <c r="AU230" s="22">
        <v>24.01</v>
      </c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</row>
    <row r="231" spans="1:71" x14ac:dyDescent="0.2">
      <c r="A231" s="60"/>
      <c r="B231" s="60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>
        <v>161</v>
      </c>
      <c r="AR231" s="22"/>
      <c r="AS231" s="22">
        <v>1.0201500000000001</v>
      </c>
      <c r="AT231" s="22">
        <v>3.6170000000000001E-2</v>
      </c>
      <c r="AU231" s="22">
        <v>24.055</v>
      </c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</row>
    <row r="232" spans="1:71" x14ac:dyDescent="0.2">
      <c r="A232" s="60"/>
      <c r="B232" s="60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>
        <v>162</v>
      </c>
      <c r="AR232" s="22"/>
      <c r="AS232" s="22">
        <v>1.0203</v>
      </c>
      <c r="AT232" s="22">
        <v>3.6240000000000001E-2</v>
      </c>
      <c r="AU232" s="22">
        <v>24.1</v>
      </c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</row>
    <row r="233" spans="1:71" x14ac:dyDescent="0.2">
      <c r="A233" s="60"/>
      <c r="B233" s="60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>
        <v>163</v>
      </c>
      <c r="AR233" s="22"/>
      <c r="AS233" s="22">
        <v>1.0204500000000001</v>
      </c>
      <c r="AT233" s="22">
        <v>3.6310000000000002E-2</v>
      </c>
      <c r="AU233" s="22">
        <v>24.145</v>
      </c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</row>
    <row r="234" spans="1:71" x14ac:dyDescent="0.2">
      <c r="A234" s="60"/>
      <c r="B234" s="60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>
        <v>164</v>
      </c>
      <c r="AR234" s="22"/>
      <c r="AS234" s="22">
        <v>1.0206</v>
      </c>
      <c r="AT234" s="22">
        <v>3.6380000000000003E-2</v>
      </c>
      <c r="AU234" s="22">
        <v>24.19</v>
      </c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</row>
    <row r="235" spans="1:71" x14ac:dyDescent="0.2">
      <c r="A235" s="60"/>
      <c r="B235" s="60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>
        <v>165</v>
      </c>
      <c r="AR235" s="22"/>
      <c r="AS235" s="22">
        <v>1.02075</v>
      </c>
      <c r="AT235" s="22">
        <v>3.6449999999999996E-2</v>
      </c>
      <c r="AU235" s="22">
        <v>24.234999999999999</v>
      </c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</row>
    <row r="236" spans="1:71" x14ac:dyDescent="0.2">
      <c r="A236" s="60"/>
      <c r="B236" s="60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>
        <v>166</v>
      </c>
      <c r="AR236" s="22"/>
      <c r="AS236" s="22">
        <v>1.0208999999999999</v>
      </c>
      <c r="AT236" s="22">
        <v>3.6519999999999997E-2</v>
      </c>
      <c r="AU236" s="22">
        <v>24.28</v>
      </c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</row>
    <row r="237" spans="1:71" x14ac:dyDescent="0.2">
      <c r="A237" s="60"/>
      <c r="B237" s="60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>
        <v>167</v>
      </c>
      <c r="AR237" s="22"/>
      <c r="AS237" s="22">
        <v>1.02105</v>
      </c>
      <c r="AT237" s="22">
        <v>3.6589999999999998E-2</v>
      </c>
      <c r="AU237" s="22">
        <v>24.324999999999999</v>
      </c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</row>
    <row r="238" spans="1:71" x14ac:dyDescent="0.2">
      <c r="A238" s="60"/>
      <c r="B238" s="60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>
        <v>168</v>
      </c>
      <c r="AR238" s="22"/>
      <c r="AS238" s="22">
        <v>1.0211999999999999</v>
      </c>
      <c r="AT238" s="22">
        <v>3.6659999999999998E-2</v>
      </c>
      <c r="AU238" s="22">
        <v>24.37</v>
      </c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</row>
    <row r="239" spans="1:71" x14ac:dyDescent="0.2">
      <c r="A239" s="60"/>
      <c r="B239" s="60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>
        <v>169</v>
      </c>
      <c r="AR239" s="22"/>
      <c r="AS239" s="22">
        <v>1.02135</v>
      </c>
      <c r="AT239" s="22">
        <v>3.6729999999999999E-2</v>
      </c>
      <c r="AU239" s="22">
        <v>24.414999999999999</v>
      </c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</row>
    <row r="240" spans="1:71" x14ac:dyDescent="0.2">
      <c r="A240" s="60"/>
      <c r="B240" s="60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>
        <v>170</v>
      </c>
      <c r="AR240" s="22"/>
      <c r="AS240" s="22">
        <v>1.0215000000000001</v>
      </c>
      <c r="AT240" s="22">
        <v>3.6799999999999999E-2</v>
      </c>
      <c r="AU240" s="22">
        <v>24.46</v>
      </c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</row>
    <row r="241" spans="1:71" x14ac:dyDescent="0.2">
      <c r="A241" s="60"/>
      <c r="B241" s="60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>
        <v>171</v>
      </c>
      <c r="AR241" s="22"/>
      <c r="AS241" s="22">
        <v>1.0216499999999999</v>
      </c>
      <c r="AT241" s="22">
        <v>3.687E-2</v>
      </c>
      <c r="AU241" s="22">
        <v>24.504999999999999</v>
      </c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</row>
    <row r="242" spans="1:71" x14ac:dyDescent="0.2">
      <c r="A242" s="60"/>
      <c r="B242" s="60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>
        <v>172</v>
      </c>
      <c r="AR242" s="22"/>
      <c r="AS242" s="22">
        <v>1.0218</v>
      </c>
      <c r="AT242" s="22">
        <v>3.6940000000000001E-2</v>
      </c>
      <c r="AU242" s="22">
        <v>24.55</v>
      </c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</row>
    <row r="243" spans="1:71" x14ac:dyDescent="0.2">
      <c r="A243" s="60"/>
      <c r="B243" s="60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>
        <v>173</v>
      </c>
      <c r="AR243" s="22"/>
      <c r="AS243" s="22">
        <v>1.0219499999999999</v>
      </c>
      <c r="AT243" s="22">
        <v>3.7010000000000001E-2</v>
      </c>
      <c r="AU243" s="22">
        <v>24.594999999999999</v>
      </c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</row>
    <row r="244" spans="1:71" x14ac:dyDescent="0.2">
      <c r="A244" s="60"/>
      <c r="B244" s="60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>
        <v>174</v>
      </c>
      <c r="AR244" s="22"/>
      <c r="AS244" s="22">
        <v>1.0221</v>
      </c>
      <c r="AT244" s="22">
        <v>3.7080000000000002E-2</v>
      </c>
      <c r="AU244" s="22">
        <v>24.64</v>
      </c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</row>
    <row r="245" spans="1:71" x14ac:dyDescent="0.2">
      <c r="A245" s="60"/>
      <c r="B245" s="60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>
        <v>175</v>
      </c>
      <c r="AR245" s="22"/>
      <c r="AS245" s="22">
        <v>1.0222499999999999</v>
      </c>
      <c r="AT245" s="22">
        <v>3.7150000000000002E-2</v>
      </c>
      <c r="AU245" s="22">
        <v>24.684999999999999</v>
      </c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</row>
    <row r="246" spans="1:71" x14ac:dyDescent="0.2">
      <c r="A246" s="60"/>
      <c r="B246" s="60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>
        <v>176</v>
      </c>
      <c r="AR246" s="22"/>
      <c r="AS246" s="22">
        <v>1.0224</v>
      </c>
      <c r="AT246" s="22">
        <v>3.7219999999999996E-2</v>
      </c>
      <c r="AU246" s="22">
        <v>24.73</v>
      </c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</row>
    <row r="247" spans="1:71" x14ac:dyDescent="0.2">
      <c r="A247" s="60"/>
      <c r="B247" s="60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>
        <v>177</v>
      </c>
      <c r="AR247" s="22"/>
      <c r="AS247" s="22">
        <v>1.0225499999999998</v>
      </c>
      <c r="AT247" s="22">
        <v>3.7289999999999997E-2</v>
      </c>
      <c r="AU247" s="22">
        <v>24.774999999999999</v>
      </c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</row>
    <row r="248" spans="1:71" x14ac:dyDescent="0.2">
      <c r="A248" s="60"/>
      <c r="B248" s="60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>
        <v>178</v>
      </c>
      <c r="AR248" s="22"/>
      <c r="AS248" s="22">
        <v>1.0226999999999999</v>
      </c>
      <c r="AT248" s="22">
        <v>3.7359999999999997E-2</v>
      </c>
      <c r="AU248" s="22">
        <v>24.82</v>
      </c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</row>
    <row r="249" spans="1:71" x14ac:dyDescent="0.2">
      <c r="A249" s="60"/>
      <c r="B249" s="60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>
        <v>179</v>
      </c>
      <c r="AR249" s="22"/>
      <c r="AS249" s="22">
        <v>1.0228499999999998</v>
      </c>
      <c r="AT249" s="22">
        <v>3.7429999999999998E-2</v>
      </c>
      <c r="AU249" s="22">
        <v>24.864999999999998</v>
      </c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</row>
    <row r="250" spans="1:71" x14ac:dyDescent="0.2">
      <c r="A250" s="60"/>
      <c r="B250" s="60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>
        <v>180</v>
      </c>
      <c r="AR250" s="22"/>
      <c r="AS250" s="22">
        <v>1.0229999999999999</v>
      </c>
      <c r="AT250" s="22">
        <v>3.7499999999999999E-2</v>
      </c>
      <c r="AU250" s="22">
        <v>24.91</v>
      </c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</row>
    <row r="251" spans="1:71" x14ac:dyDescent="0.2">
      <c r="A251" s="60"/>
      <c r="B251" s="60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>
        <v>181</v>
      </c>
      <c r="AR251" s="22"/>
      <c r="AS251" s="22">
        <v>1.02315</v>
      </c>
      <c r="AT251" s="22">
        <v>3.7569999999999999E-2</v>
      </c>
      <c r="AU251" s="22">
        <v>24.9495</v>
      </c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</row>
    <row r="252" spans="1:71" x14ac:dyDescent="0.2">
      <c r="A252" s="60"/>
      <c r="B252" s="60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>
        <v>182</v>
      </c>
      <c r="AR252" s="22"/>
      <c r="AS252" s="22">
        <v>1.0232999999999999</v>
      </c>
      <c r="AT252" s="22">
        <v>3.764E-2</v>
      </c>
      <c r="AU252" s="22">
        <v>24.989000000000001</v>
      </c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</row>
    <row r="253" spans="1:71" x14ac:dyDescent="0.2">
      <c r="A253" s="60"/>
      <c r="B253" s="60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>
        <v>183</v>
      </c>
      <c r="AR253" s="22"/>
      <c r="AS253" s="22">
        <v>1.02345</v>
      </c>
      <c r="AT253" s="22">
        <v>3.771E-2</v>
      </c>
      <c r="AU253" s="22">
        <v>25.028500000000001</v>
      </c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</row>
    <row r="254" spans="1:71" x14ac:dyDescent="0.2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>
        <v>184</v>
      </c>
      <c r="AR254" s="22"/>
      <c r="AS254" s="22">
        <v>1.0235999999999998</v>
      </c>
      <c r="AT254" s="22">
        <v>3.7780000000000001E-2</v>
      </c>
      <c r="AU254" s="22">
        <v>25.068000000000001</v>
      </c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</row>
    <row r="255" spans="1:71" x14ac:dyDescent="0.2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>
        <v>185</v>
      </c>
      <c r="AR255" s="22"/>
      <c r="AS255" s="22">
        <v>1.0237499999999999</v>
      </c>
      <c r="AT255" s="22">
        <v>3.7849999999999995E-2</v>
      </c>
      <c r="AU255" s="22">
        <v>25.107500000000002</v>
      </c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</row>
    <row r="256" spans="1:71" x14ac:dyDescent="0.2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>
        <v>186</v>
      </c>
      <c r="AR256" s="22"/>
      <c r="AS256" s="22">
        <v>1.0239</v>
      </c>
      <c r="AT256" s="22">
        <v>3.7919999999999995E-2</v>
      </c>
      <c r="AU256" s="22">
        <v>25.146999999999998</v>
      </c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</row>
    <row r="257" spans="3:71" x14ac:dyDescent="0.2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>
        <v>187</v>
      </c>
      <c r="AR257" s="22"/>
      <c r="AS257" s="22">
        <v>1.0240499999999999</v>
      </c>
      <c r="AT257" s="22">
        <v>3.7989999999999996E-2</v>
      </c>
      <c r="AU257" s="22">
        <v>25.186499999999999</v>
      </c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</row>
    <row r="258" spans="3:71" x14ac:dyDescent="0.2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>
        <v>188</v>
      </c>
      <c r="AR258" s="22"/>
      <c r="AS258" s="22">
        <v>1.0242</v>
      </c>
      <c r="AT258" s="22">
        <v>3.8059999999999997E-2</v>
      </c>
      <c r="AU258" s="22">
        <v>25.225999999999999</v>
      </c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</row>
    <row r="259" spans="3:71" x14ac:dyDescent="0.2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>
        <v>189</v>
      </c>
      <c r="AR259" s="22"/>
      <c r="AS259" s="22">
        <v>1.0243499999999999</v>
      </c>
      <c r="AT259" s="22">
        <v>3.8129999999999997E-2</v>
      </c>
      <c r="AU259" s="22">
        <v>25.265499999999999</v>
      </c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</row>
    <row r="260" spans="3:71" x14ac:dyDescent="0.2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>
        <v>190</v>
      </c>
      <c r="AR260" s="22"/>
      <c r="AS260" s="22">
        <v>1.0245</v>
      </c>
      <c r="AT260" s="22">
        <v>3.8199999999999998E-2</v>
      </c>
      <c r="AU260" s="22">
        <v>25.305</v>
      </c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</row>
    <row r="261" spans="3:71" x14ac:dyDescent="0.2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>
        <v>191</v>
      </c>
      <c r="AR261" s="22"/>
      <c r="AS261" s="22">
        <v>1.0246500000000001</v>
      </c>
      <c r="AT261" s="22">
        <v>3.8269999999999998E-2</v>
      </c>
      <c r="AU261" s="22">
        <v>25.3445</v>
      </c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</row>
    <row r="262" spans="3:71" x14ac:dyDescent="0.2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>
        <v>192</v>
      </c>
      <c r="AR262" s="22"/>
      <c r="AS262" s="22">
        <v>1.0247999999999999</v>
      </c>
      <c r="AT262" s="22">
        <v>3.8339999999999999E-2</v>
      </c>
      <c r="AU262" s="22">
        <v>25.384</v>
      </c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</row>
    <row r="263" spans="3:71" x14ac:dyDescent="0.2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>
        <v>193</v>
      </c>
      <c r="AR263" s="22"/>
      <c r="AS263" s="22">
        <v>1.02495</v>
      </c>
      <c r="AT263" s="22">
        <v>3.841E-2</v>
      </c>
      <c r="AU263" s="22">
        <v>25.423500000000001</v>
      </c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</row>
    <row r="264" spans="3:71" x14ac:dyDescent="0.2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>
        <v>194</v>
      </c>
      <c r="AR264" s="22"/>
      <c r="AS264" s="22">
        <v>1.0250999999999999</v>
      </c>
      <c r="AT264" s="22">
        <v>3.848E-2</v>
      </c>
      <c r="AU264" s="22">
        <v>25.463000000000001</v>
      </c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</row>
    <row r="265" spans="3:71" x14ac:dyDescent="0.2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>
        <v>195</v>
      </c>
      <c r="AR265" s="22"/>
      <c r="AS265" s="22">
        <v>1.02525</v>
      </c>
      <c r="AT265" s="22">
        <v>3.8550000000000001E-2</v>
      </c>
      <c r="AU265" s="22">
        <v>25.502500000000001</v>
      </c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</row>
    <row r="266" spans="3:71" x14ac:dyDescent="0.2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>
        <v>196</v>
      </c>
      <c r="AR266" s="22"/>
      <c r="AS266" s="22">
        <v>1.0254000000000001</v>
      </c>
      <c r="AT266" s="22">
        <v>3.8619999999999995E-2</v>
      </c>
      <c r="AU266" s="22">
        <v>25.541999999999998</v>
      </c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</row>
    <row r="267" spans="3:71" x14ac:dyDescent="0.2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>
        <v>197</v>
      </c>
      <c r="AR267" s="22"/>
      <c r="AS267" s="22">
        <v>1.02555</v>
      </c>
      <c r="AT267" s="22">
        <v>3.8689999999999995E-2</v>
      </c>
      <c r="AU267" s="22">
        <v>25.581499999999998</v>
      </c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</row>
    <row r="268" spans="3:71" x14ac:dyDescent="0.2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>
        <v>198</v>
      </c>
      <c r="AR268" s="22"/>
      <c r="AS268" s="22">
        <v>1.0257000000000001</v>
      </c>
      <c r="AT268" s="22">
        <v>3.8759999999999996E-2</v>
      </c>
      <c r="AU268" s="22">
        <v>25.620999999999999</v>
      </c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</row>
    <row r="269" spans="3:71" x14ac:dyDescent="0.2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>
        <v>199</v>
      </c>
      <c r="AR269" s="22"/>
      <c r="AS269" s="22">
        <v>1.0258499999999999</v>
      </c>
      <c r="AT269" s="22">
        <v>3.8829999999999996E-2</v>
      </c>
      <c r="AU269" s="22">
        <v>25.660499999999999</v>
      </c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</row>
    <row r="270" spans="3:71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>
        <v>200</v>
      </c>
      <c r="AR270" s="22"/>
      <c r="AS270" s="22">
        <v>1.026</v>
      </c>
      <c r="AT270" s="22">
        <v>3.8899999999999997E-2</v>
      </c>
      <c r="AU270" s="22">
        <v>25.7</v>
      </c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</row>
    <row r="271" spans="3:71" x14ac:dyDescent="0.2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>
        <v>201</v>
      </c>
      <c r="AR271" s="22"/>
      <c r="AS271" s="22">
        <v>1.0261800000000001</v>
      </c>
      <c r="AT271" s="22">
        <v>3.8969999999999998E-2</v>
      </c>
      <c r="AU271" s="22">
        <v>25.733999999999998</v>
      </c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</row>
    <row r="272" spans="3:71" x14ac:dyDescent="0.2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>
        <v>202</v>
      </c>
      <c r="AR272" s="22"/>
      <c r="AS272" s="22">
        <v>1.0263599999999999</v>
      </c>
      <c r="AT272" s="22">
        <v>3.9039999999999998E-2</v>
      </c>
      <c r="AU272" s="22">
        <v>25.768000000000001</v>
      </c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</row>
    <row r="273" spans="3:71" x14ac:dyDescent="0.2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>
        <v>203</v>
      </c>
      <c r="AR273" s="22"/>
      <c r="AS273" s="22">
        <v>1.02654</v>
      </c>
      <c r="AT273" s="22">
        <v>3.9109999999999999E-2</v>
      </c>
      <c r="AU273" s="22">
        <v>25.802</v>
      </c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</row>
    <row r="274" spans="3:71" x14ac:dyDescent="0.2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>
        <v>204</v>
      </c>
      <c r="AR274" s="22"/>
      <c r="AS274" s="22">
        <v>1.0267200000000001</v>
      </c>
      <c r="AT274" s="22">
        <v>3.918E-2</v>
      </c>
      <c r="AU274" s="22">
        <v>25.835999999999999</v>
      </c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</row>
    <row r="275" spans="3:71" x14ac:dyDescent="0.2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>
        <v>205</v>
      </c>
      <c r="AR275" s="22"/>
      <c r="AS275" s="22">
        <v>1.0268999999999999</v>
      </c>
      <c r="AT275" s="22">
        <v>3.925E-2</v>
      </c>
      <c r="AU275" s="22">
        <v>25.87</v>
      </c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</row>
    <row r="276" spans="3:71" x14ac:dyDescent="0.2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>
        <v>206</v>
      </c>
      <c r="AR276" s="22"/>
      <c r="AS276" s="22">
        <v>1.02708</v>
      </c>
      <c r="AT276" s="22">
        <v>3.9320000000000001E-2</v>
      </c>
      <c r="AU276" s="22">
        <v>25.904</v>
      </c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</row>
    <row r="277" spans="3:71" x14ac:dyDescent="0.2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>
        <v>207</v>
      </c>
      <c r="AR277" s="22"/>
      <c r="AS277" s="22">
        <v>1.0272600000000001</v>
      </c>
      <c r="AT277" s="22">
        <v>3.9389999999999994E-2</v>
      </c>
      <c r="AU277" s="22">
        <v>25.937999999999999</v>
      </c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</row>
    <row r="278" spans="3:71" x14ac:dyDescent="0.2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>
        <v>208</v>
      </c>
      <c r="AR278" s="22"/>
      <c r="AS278" s="22">
        <v>1.0274399999999999</v>
      </c>
      <c r="AT278" s="22">
        <v>3.9459999999999995E-2</v>
      </c>
      <c r="AU278" s="22">
        <v>25.971999999999998</v>
      </c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</row>
    <row r="279" spans="3:71" x14ac:dyDescent="0.2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>
        <v>209</v>
      </c>
      <c r="AR279" s="22"/>
      <c r="AS279" s="22">
        <v>1.02762</v>
      </c>
      <c r="AT279" s="22">
        <v>3.9529999999999996E-2</v>
      </c>
      <c r="AU279" s="22">
        <v>26.006</v>
      </c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</row>
    <row r="280" spans="3:71" x14ac:dyDescent="0.2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>
        <v>210</v>
      </c>
      <c r="AR280" s="22"/>
      <c r="AS280" s="22">
        <v>1.0278</v>
      </c>
      <c r="AT280" s="22">
        <v>3.9599999999999996E-2</v>
      </c>
      <c r="AU280" s="22">
        <v>26.04</v>
      </c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</row>
    <row r="281" spans="3:71" x14ac:dyDescent="0.2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>
        <v>211</v>
      </c>
      <c r="AR281" s="22"/>
      <c r="AS281" s="22">
        <v>1.0279799999999999</v>
      </c>
      <c r="AT281" s="22">
        <v>3.9669999999999997E-2</v>
      </c>
      <c r="AU281" s="22">
        <v>26.073999999999998</v>
      </c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</row>
    <row r="282" spans="3:71" x14ac:dyDescent="0.2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>
        <v>212</v>
      </c>
      <c r="AR282" s="22"/>
      <c r="AS282" s="22">
        <v>1.02816</v>
      </c>
      <c r="AT282" s="22">
        <v>3.9739999999999998E-2</v>
      </c>
      <c r="AU282" s="22">
        <v>26.108000000000001</v>
      </c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</row>
    <row r="283" spans="3:71" x14ac:dyDescent="0.2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>
        <v>213</v>
      </c>
      <c r="AR283" s="22"/>
      <c r="AS283" s="22">
        <v>1.02834</v>
      </c>
      <c r="AT283" s="22">
        <v>3.9809999999999998E-2</v>
      </c>
      <c r="AU283" s="22">
        <v>26.141999999999999</v>
      </c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</row>
    <row r="284" spans="3:71" x14ac:dyDescent="0.2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>
        <v>214</v>
      </c>
      <c r="AR284" s="22"/>
      <c r="AS284" s="22">
        <v>1.0285200000000001</v>
      </c>
      <c r="AT284" s="22">
        <v>3.9879999999999999E-2</v>
      </c>
      <c r="AU284" s="22">
        <v>26.175999999999998</v>
      </c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</row>
    <row r="285" spans="3:71" x14ac:dyDescent="0.2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>
        <v>215</v>
      </c>
      <c r="AR285" s="22"/>
      <c r="AS285" s="22">
        <v>1.0286999999999999</v>
      </c>
      <c r="AT285" s="22">
        <v>3.9949999999999999E-2</v>
      </c>
      <c r="AU285" s="22">
        <v>26.21</v>
      </c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</row>
    <row r="286" spans="3:71" x14ac:dyDescent="0.2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>
        <v>216</v>
      </c>
      <c r="AR286" s="22"/>
      <c r="AS286" s="22">
        <v>1.02888</v>
      </c>
      <c r="AT286" s="22">
        <v>4.002E-2</v>
      </c>
      <c r="AU286" s="22">
        <v>26.244</v>
      </c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</row>
    <row r="287" spans="3:71" x14ac:dyDescent="0.2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>
        <v>217</v>
      </c>
      <c r="AR287" s="22"/>
      <c r="AS287" s="22">
        <v>1.0290600000000001</v>
      </c>
      <c r="AT287" s="22">
        <v>4.0090000000000001E-2</v>
      </c>
      <c r="AU287" s="22">
        <v>26.277999999999999</v>
      </c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</row>
    <row r="288" spans="3:71" x14ac:dyDescent="0.2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>
        <v>218</v>
      </c>
      <c r="AR288" s="22"/>
      <c r="AS288" s="22">
        <v>1.0292399999999999</v>
      </c>
      <c r="AT288" s="22">
        <v>4.0160000000000001E-2</v>
      </c>
      <c r="AU288" s="22">
        <v>26.311999999999998</v>
      </c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</row>
    <row r="289" spans="3:71" x14ac:dyDescent="0.2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>
        <v>219</v>
      </c>
      <c r="AR289" s="22"/>
      <c r="AS289" s="22">
        <v>1.02942</v>
      </c>
      <c r="AT289" s="22">
        <v>4.0229999999999995E-2</v>
      </c>
      <c r="AU289" s="22">
        <v>26.346</v>
      </c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</row>
    <row r="290" spans="3:71" x14ac:dyDescent="0.2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>
        <v>220</v>
      </c>
      <c r="AR290" s="22"/>
      <c r="AS290" s="22">
        <v>1.0296000000000001</v>
      </c>
      <c r="AT290" s="22">
        <v>4.0299999999999996E-2</v>
      </c>
      <c r="AU290" s="22">
        <v>26.38</v>
      </c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</row>
    <row r="291" spans="3:71" x14ac:dyDescent="0.2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>
        <v>221</v>
      </c>
      <c r="AR291" s="22"/>
      <c r="AS291" s="22">
        <v>1.0297799999999999</v>
      </c>
      <c r="AT291" s="22">
        <v>4.0369999999999996E-2</v>
      </c>
      <c r="AU291" s="22">
        <v>26.413999999999998</v>
      </c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</row>
    <row r="292" spans="3:71" x14ac:dyDescent="0.2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>
        <v>222</v>
      </c>
      <c r="AR292" s="22"/>
      <c r="AS292" s="22">
        <v>1.02996</v>
      </c>
      <c r="AT292" s="22">
        <v>4.0439999999999997E-2</v>
      </c>
      <c r="AU292" s="22">
        <v>26.448</v>
      </c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</row>
    <row r="293" spans="3:71" x14ac:dyDescent="0.2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>
        <v>223</v>
      </c>
      <c r="AR293" s="22"/>
      <c r="AS293" s="22">
        <v>1.0301400000000001</v>
      </c>
      <c r="AT293" s="22">
        <v>4.0509999999999997E-2</v>
      </c>
      <c r="AU293" s="22">
        <v>26.481999999999999</v>
      </c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</row>
    <row r="294" spans="3:71" x14ac:dyDescent="0.2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>
        <v>224</v>
      </c>
      <c r="AR294" s="22"/>
      <c r="AS294" s="22">
        <v>1.0303199999999999</v>
      </c>
      <c r="AT294" s="22">
        <v>4.0579999999999998E-2</v>
      </c>
      <c r="AU294" s="22">
        <v>26.515999999999998</v>
      </c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</row>
    <row r="295" spans="3:71" x14ac:dyDescent="0.2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>
        <v>225</v>
      </c>
      <c r="AR295" s="22"/>
      <c r="AS295" s="22">
        <v>1.0305</v>
      </c>
      <c r="AT295" s="22">
        <v>4.0649999999999999E-2</v>
      </c>
      <c r="AU295" s="22">
        <v>26.55</v>
      </c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</row>
    <row r="296" spans="3:71" x14ac:dyDescent="0.2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>
        <v>226</v>
      </c>
      <c r="AR296" s="22"/>
      <c r="AS296" s="22">
        <v>1.03068</v>
      </c>
      <c r="AT296" s="22">
        <v>4.0719999999999999E-2</v>
      </c>
      <c r="AU296" s="22">
        <v>26.584</v>
      </c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</row>
    <row r="297" spans="3:71" x14ac:dyDescent="0.2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>
        <v>227</v>
      </c>
      <c r="AR297" s="22"/>
      <c r="AS297" s="22">
        <v>1.0308599999999999</v>
      </c>
      <c r="AT297" s="22">
        <v>4.079E-2</v>
      </c>
      <c r="AU297" s="22">
        <v>26.617999999999999</v>
      </c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</row>
    <row r="298" spans="3:71" x14ac:dyDescent="0.2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>
        <v>228</v>
      </c>
      <c r="AR298" s="22"/>
      <c r="AS298" s="22">
        <v>1.03104</v>
      </c>
      <c r="AT298" s="22">
        <v>4.086E-2</v>
      </c>
      <c r="AU298" s="22">
        <v>26.651999999999997</v>
      </c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</row>
    <row r="299" spans="3:71" x14ac:dyDescent="0.2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>
        <v>229</v>
      </c>
      <c r="AR299" s="22"/>
      <c r="AS299" s="22">
        <v>1.03122</v>
      </c>
      <c r="AT299" s="22">
        <v>4.0930000000000001E-2</v>
      </c>
      <c r="AU299" s="22">
        <v>26.686</v>
      </c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</row>
    <row r="300" spans="3:71" x14ac:dyDescent="0.2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>
        <v>230</v>
      </c>
      <c r="AR300" s="22"/>
      <c r="AS300" s="22">
        <v>1.0313999999999999</v>
      </c>
      <c r="AT300" s="22">
        <v>4.1000000000000002E-2</v>
      </c>
      <c r="AU300" s="22">
        <v>26.72</v>
      </c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</row>
    <row r="301" spans="3:71" x14ac:dyDescent="0.2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>
        <v>231</v>
      </c>
      <c r="AR301" s="22"/>
      <c r="AS301" s="22">
        <v>1.0315799999999999</v>
      </c>
      <c r="AT301" s="22">
        <v>4.1069999999999995E-2</v>
      </c>
      <c r="AU301" s="22">
        <v>26.753999999999998</v>
      </c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</row>
    <row r="302" spans="3:71" x14ac:dyDescent="0.2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>
        <v>232</v>
      </c>
      <c r="AR302" s="22"/>
      <c r="AS302" s="22">
        <v>1.03176</v>
      </c>
      <c r="AT302" s="22">
        <v>4.1139999999999996E-2</v>
      </c>
      <c r="AU302" s="22">
        <v>26.788</v>
      </c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</row>
    <row r="303" spans="3:71" x14ac:dyDescent="0.2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>
        <v>233</v>
      </c>
      <c r="AR303" s="22"/>
      <c r="AS303" s="22">
        <v>1.0319399999999999</v>
      </c>
      <c r="AT303" s="22">
        <v>4.1209999999999997E-2</v>
      </c>
      <c r="AU303" s="22">
        <v>26.821999999999999</v>
      </c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</row>
    <row r="304" spans="3:71" x14ac:dyDescent="0.2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>
        <v>234</v>
      </c>
      <c r="AR304" s="22"/>
      <c r="AS304" s="22">
        <v>1.0321199999999999</v>
      </c>
      <c r="AT304" s="22">
        <v>4.1279999999999997E-2</v>
      </c>
      <c r="AU304" s="22">
        <v>26.855999999999998</v>
      </c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</row>
    <row r="305" spans="3:71" x14ac:dyDescent="0.2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>
        <v>235</v>
      </c>
      <c r="AR305" s="22"/>
      <c r="AS305" s="22">
        <v>1.0323</v>
      </c>
      <c r="AT305" s="22">
        <v>4.1349999999999998E-2</v>
      </c>
      <c r="AU305" s="22">
        <v>26.89</v>
      </c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</row>
    <row r="306" spans="3:71" x14ac:dyDescent="0.2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>
        <v>236</v>
      </c>
      <c r="AR306" s="22"/>
      <c r="AS306" s="22">
        <v>1.0324799999999998</v>
      </c>
      <c r="AT306" s="22">
        <v>4.1419999999999998E-2</v>
      </c>
      <c r="AU306" s="22">
        <v>26.923999999999999</v>
      </c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</row>
    <row r="307" spans="3:71" x14ac:dyDescent="0.2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>
        <v>237</v>
      </c>
      <c r="AR307" s="22"/>
      <c r="AS307" s="22">
        <v>1.0326599999999999</v>
      </c>
      <c r="AT307" s="22">
        <v>4.1489999999999999E-2</v>
      </c>
      <c r="AU307" s="22">
        <v>26.957999999999998</v>
      </c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</row>
    <row r="308" spans="3:71" x14ac:dyDescent="0.2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>
        <v>238</v>
      </c>
      <c r="AR308" s="22"/>
      <c r="AS308" s="22">
        <v>1.03284</v>
      </c>
      <c r="AT308" s="22">
        <v>4.156E-2</v>
      </c>
      <c r="AU308" s="22">
        <v>26.991999999999997</v>
      </c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</row>
    <row r="309" spans="3:71" x14ac:dyDescent="0.2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>
        <v>239</v>
      </c>
      <c r="AR309" s="22"/>
      <c r="AS309" s="22">
        <v>1.03302</v>
      </c>
      <c r="AT309" s="22">
        <v>4.163E-2</v>
      </c>
      <c r="AU309" s="22">
        <v>27.026</v>
      </c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</row>
    <row r="310" spans="3:71" x14ac:dyDescent="0.2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>
        <v>240</v>
      </c>
      <c r="AR310" s="22"/>
      <c r="AS310" s="22">
        <v>1.0331999999999999</v>
      </c>
      <c r="AT310" s="22">
        <v>4.1700000000000001E-2</v>
      </c>
      <c r="AU310" s="22">
        <v>27.06</v>
      </c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</row>
    <row r="311" spans="3:71" x14ac:dyDescent="0.2"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>
        <v>241</v>
      </c>
      <c r="AR311" s="22"/>
      <c r="AS311" s="22">
        <v>1.03338</v>
      </c>
      <c r="AT311" s="22">
        <v>4.1770000000000002E-2</v>
      </c>
      <c r="AU311" s="22">
        <v>27.093999999999998</v>
      </c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</row>
    <row r="312" spans="3:71" x14ac:dyDescent="0.2"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>
        <v>242</v>
      </c>
      <c r="AR312" s="22"/>
      <c r="AS312" s="22">
        <v>1.03356</v>
      </c>
      <c r="AT312" s="22">
        <v>4.1840000000000002E-2</v>
      </c>
      <c r="AU312" s="22">
        <v>27.128</v>
      </c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</row>
    <row r="313" spans="3:71" x14ac:dyDescent="0.2"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>
        <v>243</v>
      </c>
      <c r="AR313" s="22"/>
      <c r="AS313" s="22">
        <v>1.0337399999999999</v>
      </c>
      <c r="AT313" s="22">
        <v>4.1910000000000003E-2</v>
      </c>
      <c r="AU313" s="22">
        <v>27.161999999999999</v>
      </c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</row>
    <row r="314" spans="3:71" x14ac:dyDescent="0.2"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>
        <v>244</v>
      </c>
      <c r="AR314" s="22"/>
      <c r="AS314" s="22">
        <v>1.03392</v>
      </c>
      <c r="AT314" s="22">
        <v>4.1980000000000003E-2</v>
      </c>
      <c r="AU314" s="22">
        <v>27.195999999999998</v>
      </c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</row>
    <row r="315" spans="3:71" x14ac:dyDescent="0.2"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>
        <v>245</v>
      </c>
      <c r="AR315" s="22"/>
      <c r="AS315" s="22">
        <v>1.0341</v>
      </c>
      <c r="AT315" s="22">
        <v>4.2049999999999997E-2</v>
      </c>
      <c r="AU315" s="22">
        <v>27.23</v>
      </c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</row>
    <row r="316" spans="3:71" x14ac:dyDescent="0.2"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>
        <v>246</v>
      </c>
      <c r="AR316" s="22"/>
      <c r="AS316" s="22">
        <v>1.0342799999999999</v>
      </c>
      <c r="AT316" s="22">
        <v>4.2119999999999998E-2</v>
      </c>
      <c r="AU316" s="22">
        <v>27.263999999999999</v>
      </c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</row>
    <row r="317" spans="3:71" x14ac:dyDescent="0.2"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>
        <v>247</v>
      </c>
      <c r="AR317" s="22"/>
      <c r="AS317" s="22">
        <v>1.0344599999999999</v>
      </c>
      <c r="AT317" s="22">
        <v>4.2189999999999998E-2</v>
      </c>
      <c r="AU317" s="22">
        <v>27.297999999999998</v>
      </c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</row>
    <row r="318" spans="3:71" x14ac:dyDescent="0.2"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>
        <v>248</v>
      </c>
      <c r="AR318" s="22"/>
      <c r="AS318" s="22">
        <v>1.03464</v>
      </c>
      <c r="AT318" s="22">
        <v>4.2259999999999999E-2</v>
      </c>
      <c r="AU318" s="22">
        <v>27.331999999999997</v>
      </c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</row>
    <row r="319" spans="3:71" x14ac:dyDescent="0.2"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>
        <v>249</v>
      </c>
      <c r="AR319" s="22"/>
      <c r="AS319" s="22">
        <v>1.0348199999999999</v>
      </c>
      <c r="AT319" s="22">
        <v>4.233E-2</v>
      </c>
      <c r="AU319" s="22">
        <v>27.366</v>
      </c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</row>
    <row r="320" spans="3:71" x14ac:dyDescent="0.2"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>
        <v>250</v>
      </c>
      <c r="AR320" s="22"/>
      <c r="AS320" s="22">
        <v>1.0349999999999999</v>
      </c>
      <c r="AT320" s="22">
        <v>4.24E-2</v>
      </c>
      <c r="AU320" s="22">
        <v>27.4</v>
      </c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</row>
    <row r="321" spans="3:71" x14ac:dyDescent="0.2"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>
        <v>251</v>
      </c>
      <c r="AR321" s="22"/>
      <c r="AS321" s="22" t="s">
        <v>12</v>
      </c>
      <c r="AT321" s="22" t="s">
        <v>12</v>
      </c>
      <c r="AU321" s="22" t="s">
        <v>12</v>
      </c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</row>
    <row r="322" spans="3:71" x14ac:dyDescent="0.2"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</row>
    <row r="323" spans="3:71" x14ac:dyDescent="0.2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</row>
    <row r="324" spans="3:71" x14ac:dyDescent="0.2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</row>
    <row r="325" spans="3:71" x14ac:dyDescent="0.2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</row>
    <row r="326" spans="3:71" x14ac:dyDescent="0.2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</row>
    <row r="327" spans="3:71" x14ac:dyDescent="0.2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</row>
    <row r="328" spans="3:71" x14ac:dyDescent="0.2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</row>
    <row r="329" spans="3:71" x14ac:dyDescent="0.2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</row>
    <row r="330" spans="3:71" x14ac:dyDescent="0.2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</row>
    <row r="331" spans="3:71" x14ac:dyDescent="0.2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</row>
    <row r="332" spans="3:71" x14ac:dyDescent="0.2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</row>
    <row r="333" spans="3:71" x14ac:dyDescent="0.2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</row>
    <row r="334" spans="3:71" x14ac:dyDescent="0.2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</row>
    <row r="335" spans="3:71" x14ac:dyDescent="0.2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</row>
    <row r="336" spans="3:71" x14ac:dyDescent="0.2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</row>
    <row r="337" spans="3:71" x14ac:dyDescent="0.2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</row>
    <row r="338" spans="3:71" x14ac:dyDescent="0.2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</row>
    <row r="339" spans="3:71" x14ac:dyDescent="0.2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</row>
    <row r="340" spans="3:71" x14ac:dyDescent="0.2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</row>
    <row r="341" spans="3:71" x14ac:dyDescent="0.2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</row>
    <row r="342" spans="3:71" x14ac:dyDescent="0.2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</row>
    <row r="343" spans="3:71" x14ac:dyDescent="0.2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</row>
    <row r="344" spans="3:71" x14ac:dyDescent="0.2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</row>
    <row r="345" spans="3:71" x14ac:dyDescent="0.2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</row>
    <row r="346" spans="3:71" x14ac:dyDescent="0.2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</row>
    <row r="347" spans="3:71" x14ac:dyDescent="0.2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</row>
    <row r="348" spans="3:71" x14ac:dyDescent="0.2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</row>
    <row r="349" spans="3:71" x14ac:dyDescent="0.2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</row>
    <row r="350" spans="3:71" x14ac:dyDescent="0.2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</row>
    <row r="351" spans="3:71" x14ac:dyDescent="0.2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</row>
    <row r="352" spans="3:71" x14ac:dyDescent="0.2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</row>
    <row r="353" spans="3:71" x14ac:dyDescent="0.2"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</row>
    <row r="354" spans="3:71" x14ac:dyDescent="0.2"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</row>
    <row r="355" spans="3:71" x14ac:dyDescent="0.2"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</row>
    <row r="356" spans="3:71" x14ac:dyDescent="0.2"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</row>
    <row r="357" spans="3:71" x14ac:dyDescent="0.2"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</row>
    <row r="358" spans="3:71" x14ac:dyDescent="0.2"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</row>
    <row r="359" spans="3:71" x14ac:dyDescent="0.2"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</row>
    <row r="360" spans="3:71" x14ac:dyDescent="0.2"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</row>
    <row r="361" spans="3:71" x14ac:dyDescent="0.2"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</row>
    <row r="362" spans="3:71" x14ac:dyDescent="0.2"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</row>
    <row r="363" spans="3:71" x14ac:dyDescent="0.2"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</row>
    <row r="364" spans="3:71" x14ac:dyDescent="0.2"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</row>
    <row r="365" spans="3:71" x14ac:dyDescent="0.2"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</row>
    <row r="366" spans="3:71" x14ac:dyDescent="0.2"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</row>
    <row r="367" spans="3:71" x14ac:dyDescent="0.2"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</row>
    <row r="368" spans="3:71" x14ac:dyDescent="0.2"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</row>
    <row r="369" spans="3:71" x14ac:dyDescent="0.2"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</row>
    <row r="370" spans="3:71" x14ac:dyDescent="0.2"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</row>
    <row r="371" spans="3:71" x14ac:dyDescent="0.2"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</row>
    <row r="372" spans="3:71" x14ac:dyDescent="0.2"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</row>
    <row r="373" spans="3:71" x14ac:dyDescent="0.2"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</row>
    <row r="374" spans="3:71" x14ac:dyDescent="0.2"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</row>
    <row r="375" spans="3:71" x14ac:dyDescent="0.2"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</row>
    <row r="376" spans="3:71" x14ac:dyDescent="0.2"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</row>
    <row r="377" spans="3:71" x14ac:dyDescent="0.2"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</row>
    <row r="378" spans="3:71" x14ac:dyDescent="0.2"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</row>
    <row r="379" spans="3:71" x14ac:dyDescent="0.2"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</row>
    <row r="380" spans="3:71" x14ac:dyDescent="0.2"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</row>
    <row r="381" spans="3:71" x14ac:dyDescent="0.2"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</row>
    <row r="382" spans="3:71" x14ac:dyDescent="0.2"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</row>
    <row r="383" spans="3:71" x14ac:dyDescent="0.2"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</row>
    <row r="384" spans="3:71" x14ac:dyDescent="0.2"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</row>
    <row r="385" spans="3:71" x14ac:dyDescent="0.2"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</row>
    <row r="386" spans="3:71" x14ac:dyDescent="0.2"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</row>
    <row r="387" spans="3:71" x14ac:dyDescent="0.2"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</row>
    <row r="388" spans="3:71" x14ac:dyDescent="0.2"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</row>
    <row r="389" spans="3:71" x14ac:dyDescent="0.2"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</row>
    <row r="390" spans="3:71" x14ac:dyDescent="0.2"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</row>
    <row r="391" spans="3:71" x14ac:dyDescent="0.2"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</row>
    <row r="392" spans="3:71" x14ac:dyDescent="0.2"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</row>
    <row r="393" spans="3:71" x14ac:dyDescent="0.2"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</row>
    <row r="394" spans="3:71" x14ac:dyDescent="0.2"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</row>
    <row r="395" spans="3:71" x14ac:dyDescent="0.2"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</row>
    <row r="396" spans="3:71" x14ac:dyDescent="0.2"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</row>
    <row r="397" spans="3:71" x14ac:dyDescent="0.2"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</row>
    <row r="398" spans="3:71" x14ac:dyDescent="0.2"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</row>
    <row r="399" spans="3:71" x14ac:dyDescent="0.2"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</row>
    <row r="400" spans="3:71" x14ac:dyDescent="0.2"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</row>
    <row r="401" spans="3:71" x14ac:dyDescent="0.2"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</row>
    <row r="402" spans="3:71" x14ac:dyDescent="0.2"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</row>
    <row r="403" spans="3:71" x14ac:dyDescent="0.2"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</row>
    <row r="404" spans="3:71" x14ac:dyDescent="0.2"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</row>
    <row r="405" spans="3:71" x14ac:dyDescent="0.2"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</row>
    <row r="406" spans="3:71" x14ac:dyDescent="0.2"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</row>
    <row r="407" spans="3:71" x14ac:dyDescent="0.2"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</row>
    <row r="408" spans="3:71" x14ac:dyDescent="0.2"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</row>
    <row r="409" spans="3:71" x14ac:dyDescent="0.2"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</row>
    <row r="410" spans="3:71" x14ac:dyDescent="0.2"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</row>
    <row r="411" spans="3:71" x14ac:dyDescent="0.2"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</row>
    <row r="412" spans="3:71" x14ac:dyDescent="0.2"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</row>
    <row r="413" spans="3:71" x14ac:dyDescent="0.2"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</row>
    <row r="414" spans="3:71" x14ac:dyDescent="0.2"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</row>
    <row r="415" spans="3:71" x14ac:dyDescent="0.2"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</row>
    <row r="416" spans="3:71" x14ac:dyDescent="0.2"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</row>
    <row r="417" spans="3:71" x14ac:dyDescent="0.2"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</row>
    <row r="418" spans="3:71" x14ac:dyDescent="0.2"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</row>
    <row r="419" spans="3:71" x14ac:dyDescent="0.2"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</row>
    <row r="420" spans="3:71" x14ac:dyDescent="0.2"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</row>
    <row r="421" spans="3:71" x14ac:dyDescent="0.2"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</row>
    <row r="422" spans="3:71" x14ac:dyDescent="0.2"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</row>
    <row r="423" spans="3:71" x14ac:dyDescent="0.2"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</row>
    <row r="424" spans="3:71" x14ac:dyDescent="0.2"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</row>
    <row r="425" spans="3:71" x14ac:dyDescent="0.2"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</row>
    <row r="426" spans="3:71" x14ac:dyDescent="0.2"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</row>
    <row r="427" spans="3:71" x14ac:dyDescent="0.2"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</row>
    <row r="428" spans="3:71" x14ac:dyDescent="0.2"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</row>
    <row r="429" spans="3:71" x14ac:dyDescent="0.2"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</row>
    <row r="430" spans="3:71" x14ac:dyDescent="0.2"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</row>
    <row r="431" spans="3:71" x14ac:dyDescent="0.2"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</row>
    <row r="432" spans="3:71" x14ac:dyDescent="0.2"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</row>
    <row r="433" spans="3:71" x14ac:dyDescent="0.2"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</row>
    <row r="434" spans="3:71" x14ac:dyDescent="0.2"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</row>
    <row r="435" spans="3:71" x14ac:dyDescent="0.2"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</row>
    <row r="436" spans="3:71" x14ac:dyDescent="0.2"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</row>
    <row r="437" spans="3:71" x14ac:dyDescent="0.2"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</row>
    <row r="438" spans="3:71" x14ac:dyDescent="0.2"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</row>
    <row r="439" spans="3:71" x14ac:dyDescent="0.2"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</row>
    <row r="440" spans="3:71" x14ac:dyDescent="0.2"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</row>
    <row r="441" spans="3:71" x14ac:dyDescent="0.2"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</row>
    <row r="442" spans="3:71" x14ac:dyDescent="0.2"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</row>
    <row r="443" spans="3:71" x14ac:dyDescent="0.2"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</row>
    <row r="444" spans="3:71" x14ac:dyDescent="0.2"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</row>
    <row r="445" spans="3:71" x14ac:dyDescent="0.2"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</row>
    <row r="446" spans="3:71" x14ac:dyDescent="0.2"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</row>
    <row r="447" spans="3:71" x14ac:dyDescent="0.2"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</row>
    <row r="448" spans="3:71" x14ac:dyDescent="0.2"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</row>
    <row r="449" spans="3:71" x14ac:dyDescent="0.2"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</row>
    <row r="450" spans="3:71" x14ac:dyDescent="0.2"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</row>
    <row r="451" spans="3:71" x14ac:dyDescent="0.2"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</row>
    <row r="452" spans="3:71" x14ac:dyDescent="0.2"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</row>
    <row r="453" spans="3:71" x14ac:dyDescent="0.2"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</row>
    <row r="454" spans="3:71" x14ac:dyDescent="0.2"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</row>
    <row r="455" spans="3:71" x14ac:dyDescent="0.2"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</row>
    <row r="456" spans="3:71" x14ac:dyDescent="0.2"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</row>
    <row r="457" spans="3:71" x14ac:dyDescent="0.2"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</row>
    <row r="458" spans="3:71" x14ac:dyDescent="0.2"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</row>
    <row r="459" spans="3:71" x14ac:dyDescent="0.2"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</row>
    <row r="460" spans="3:71" x14ac:dyDescent="0.2"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</row>
    <row r="461" spans="3:71" x14ac:dyDescent="0.2"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</row>
    <row r="462" spans="3:71" x14ac:dyDescent="0.2"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</row>
    <row r="463" spans="3:71" x14ac:dyDescent="0.2"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</row>
    <row r="464" spans="3:71" x14ac:dyDescent="0.2"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</row>
    <row r="465" spans="3:71" x14ac:dyDescent="0.2"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</row>
    <row r="466" spans="3:71" x14ac:dyDescent="0.2"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</row>
    <row r="467" spans="3:71" x14ac:dyDescent="0.2"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</row>
    <row r="468" spans="3:71" x14ac:dyDescent="0.2"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</row>
    <row r="469" spans="3:71" x14ac:dyDescent="0.2"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</row>
    <row r="470" spans="3:71" x14ac:dyDescent="0.2"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</row>
    <row r="471" spans="3:71" x14ac:dyDescent="0.2"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</row>
    <row r="472" spans="3:71" x14ac:dyDescent="0.2"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</row>
    <row r="473" spans="3:71" x14ac:dyDescent="0.2"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</row>
    <row r="474" spans="3:71" x14ac:dyDescent="0.2"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</row>
    <row r="475" spans="3:71" x14ac:dyDescent="0.2"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</row>
    <row r="476" spans="3:71" x14ac:dyDescent="0.2"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</row>
    <row r="477" spans="3:71" x14ac:dyDescent="0.2"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</row>
    <row r="478" spans="3:71" x14ac:dyDescent="0.2"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</row>
    <row r="479" spans="3:71" x14ac:dyDescent="0.2"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</row>
    <row r="480" spans="3:71" x14ac:dyDescent="0.2"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</row>
    <row r="481" spans="3:71" x14ac:dyDescent="0.2"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</row>
    <row r="482" spans="3:71" x14ac:dyDescent="0.2"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</row>
    <row r="483" spans="3:71" x14ac:dyDescent="0.2"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</row>
    <row r="484" spans="3:71" x14ac:dyDescent="0.2"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</row>
    <row r="485" spans="3:71" x14ac:dyDescent="0.2"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</row>
    <row r="486" spans="3:71" x14ac:dyDescent="0.2"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</row>
    <row r="487" spans="3:71" x14ac:dyDescent="0.2"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</row>
    <row r="488" spans="3:71" x14ac:dyDescent="0.2"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</row>
    <row r="489" spans="3:71" x14ac:dyDescent="0.2"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</row>
    <row r="490" spans="3:71" x14ac:dyDescent="0.2"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</row>
    <row r="491" spans="3:71" x14ac:dyDescent="0.2"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</row>
    <row r="492" spans="3:71" x14ac:dyDescent="0.2"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</row>
    <row r="493" spans="3:71" x14ac:dyDescent="0.2"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</row>
    <row r="494" spans="3:71" x14ac:dyDescent="0.2"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</row>
    <row r="495" spans="3:71" x14ac:dyDescent="0.2"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</row>
    <row r="496" spans="3:71" x14ac:dyDescent="0.2"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</row>
    <row r="497" spans="3:71" x14ac:dyDescent="0.2"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</row>
    <row r="498" spans="3:71" x14ac:dyDescent="0.2"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</row>
    <row r="499" spans="3:71" x14ac:dyDescent="0.2"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</row>
    <row r="500" spans="3:71" x14ac:dyDescent="0.2"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</row>
    <row r="501" spans="3:71" x14ac:dyDescent="0.2"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</row>
    <row r="502" spans="3:71" x14ac:dyDescent="0.2"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</row>
    <row r="503" spans="3:71" x14ac:dyDescent="0.2"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</row>
    <row r="504" spans="3:71" x14ac:dyDescent="0.2"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</row>
    <row r="505" spans="3:71" x14ac:dyDescent="0.2"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</row>
    <row r="506" spans="3:71" x14ac:dyDescent="0.2"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</row>
    <row r="507" spans="3:71" x14ac:dyDescent="0.2"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</row>
    <row r="508" spans="3:71" x14ac:dyDescent="0.2"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</row>
    <row r="509" spans="3:71" x14ac:dyDescent="0.2"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</row>
    <row r="510" spans="3:71" x14ac:dyDescent="0.2"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</row>
    <row r="511" spans="3:71" x14ac:dyDescent="0.2"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</row>
    <row r="512" spans="3:71" x14ac:dyDescent="0.2"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</row>
    <row r="513" spans="3:71" x14ac:dyDescent="0.2"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</row>
    <row r="514" spans="3:71" x14ac:dyDescent="0.2"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</row>
    <row r="515" spans="3:71" x14ac:dyDescent="0.2"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</row>
    <row r="516" spans="3:71" x14ac:dyDescent="0.2"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</row>
    <row r="517" spans="3:71" x14ac:dyDescent="0.2"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</row>
    <row r="518" spans="3:71" x14ac:dyDescent="0.2"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</row>
    <row r="519" spans="3:71" x14ac:dyDescent="0.2"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</row>
    <row r="520" spans="3:71" x14ac:dyDescent="0.2"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</row>
    <row r="521" spans="3:71" x14ac:dyDescent="0.2"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</row>
    <row r="522" spans="3:71" x14ac:dyDescent="0.2"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</row>
    <row r="523" spans="3:71" x14ac:dyDescent="0.2"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</row>
    <row r="524" spans="3:71" x14ac:dyDescent="0.2"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</row>
    <row r="525" spans="3:71" x14ac:dyDescent="0.2"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</row>
    <row r="526" spans="3:71" x14ac:dyDescent="0.2"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</row>
    <row r="527" spans="3:71" x14ac:dyDescent="0.2"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</row>
    <row r="528" spans="3:71" x14ac:dyDescent="0.2"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</row>
    <row r="529" spans="3:71" x14ac:dyDescent="0.2"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</row>
    <row r="530" spans="3:71" x14ac:dyDescent="0.2"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</row>
    <row r="531" spans="3:71" x14ac:dyDescent="0.2"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</row>
    <row r="532" spans="3:71" x14ac:dyDescent="0.2"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</row>
    <row r="533" spans="3:71" x14ac:dyDescent="0.2"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</row>
    <row r="534" spans="3:71" x14ac:dyDescent="0.2"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</row>
    <row r="535" spans="3:71" x14ac:dyDescent="0.2"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</row>
    <row r="536" spans="3:71" x14ac:dyDescent="0.2"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</row>
    <row r="537" spans="3:71" x14ac:dyDescent="0.2"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</row>
    <row r="538" spans="3:71" x14ac:dyDescent="0.2"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</row>
    <row r="539" spans="3:71" x14ac:dyDescent="0.2"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</row>
    <row r="540" spans="3:71" x14ac:dyDescent="0.2"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</row>
    <row r="541" spans="3:71" x14ac:dyDescent="0.2"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</row>
    <row r="542" spans="3:71" x14ac:dyDescent="0.2"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</row>
    <row r="543" spans="3:71" x14ac:dyDescent="0.2"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</row>
    <row r="544" spans="3:71" x14ac:dyDescent="0.2"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</row>
    <row r="545" spans="3:71" x14ac:dyDescent="0.2"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</row>
    <row r="546" spans="3:71" x14ac:dyDescent="0.2"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</row>
    <row r="547" spans="3:71" x14ac:dyDescent="0.2"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</row>
    <row r="548" spans="3:71" x14ac:dyDescent="0.2"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</row>
    <row r="549" spans="3:71" x14ac:dyDescent="0.2"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</row>
    <row r="550" spans="3:71" x14ac:dyDescent="0.2"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</row>
    <row r="551" spans="3:71" x14ac:dyDescent="0.2"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</row>
    <row r="552" spans="3:71" x14ac:dyDescent="0.2"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</row>
    <row r="553" spans="3:71" x14ac:dyDescent="0.2"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</row>
    <row r="554" spans="3:71" x14ac:dyDescent="0.2"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</row>
    <row r="555" spans="3:71" x14ac:dyDescent="0.2"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</row>
    <row r="556" spans="3:71" x14ac:dyDescent="0.2"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</row>
    <row r="557" spans="3:71" x14ac:dyDescent="0.2"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</row>
    <row r="558" spans="3:71" x14ac:dyDescent="0.2"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</row>
    <row r="559" spans="3:71" x14ac:dyDescent="0.2"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</row>
    <row r="560" spans="3:71" x14ac:dyDescent="0.2"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</row>
    <row r="561" spans="3:40" x14ac:dyDescent="0.2"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</row>
    <row r="562" spans="3:40" x14ac:dyDescent="0.2"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</row>
    <row r="563" spans="3:40" x14ac:dyDescent="0.2"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</row>
    <row r="564" spans="3:40" x14ac:dyDescent="0.2"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</row>
    <row r="565" spans="3:40" x14ac:dyDescent="0.2"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</row>
    <row r="566" spans="3:40" x14ac:dyDescent="0.2"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</row>
    <row r="567" spans="3:40" x14ac:dyDescent="0.2"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</row>
    <row r="568" spans="3:40" x14ac:dyDescent="0.2"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</row>
    <row r="569" spans="3:40" x14ac:dyDescent="0.2"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</row>
    <row r="570" spans="3:40" x14ac:dyDescent="0.2"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</row>
    <row r="571" spans="3:40" x14ac:dyDescent="0.2"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</row>
    <row r="572" spans="3:40" x14ac:dyDescent="0.2"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</row>
    <row r="573" spans="3:40" x14ac:dyDescent="0.2"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</row>
    <row r="574" spans="3:40" x14ac:dyDescent="0.2"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</row>
    <row r="575" spans="3:40" x14ac:dyDescent="0.2"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</row>
    <row r="576" spans="3:40" x14ac:dyDescent="0.2"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</row>
    <row r="577" spans="3:40" x14ac:dyDescent="0.2"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</row>
    <row r="578" spans="3:40" x14ac:dyDescent="0.2"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</row>
    <row r="579" spans="3:40" x14ac:dyDescent="0.2"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</row>
    <row r="580" spans="3:40" x14ac:dyDescent="0.2"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</row>
    <row r="581" spans="3:40" x14ac:dyDescent="0.2"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</row>
    <row r="582" spans="3:40" x14ac:dyDescent="0.2"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</row>
    <row r="583" spans="3:40" x14ac:dyDescent="0.2"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</row>
    <row r="584" spans="3:40" x14ac:dyDescent="0.2"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</row>
    <row r="585" spans="3:40" x14ac:dyDescent="0.2"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</row>
    <row r="586" spans="3:40" x14ac:dyDescent="0.2"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</row>
    <row r="587" spans="3:40" x14ac:dyDescent="0.2"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</row>
    <row r="588" spans="3:40" x14ac:dyDescent="0.2"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</row>
    <row r="589" spans="3:40" x14ac:dyDescent="0.2"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</row>
    <row r="590" spans="3:40" x14ac:dyDescent="0.2"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</row>
    <row r="591" spans="3:40" x14ac:dyDescent="0.2"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</row>
    <row r="592" spans="3:40" x14ac:dyDescent="0.2"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</row>
    <row r="593" spans="3:40" x14ac:dyDescent="0.2"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</row>
    <row r="594" spans="3:40" x14ac:dyDescent="0.2"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</row>
    <row r="595" spans="3:40" x14ac:dyDescent="0.2"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</row>
    <row r="596" spans="3:40" x14ac:dyDescent="0.2"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</row>
    <row r="597" spans="3:40" x14ac:dyDescent="0.2"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</row>
    <row r="598" spans="3:40" x14ac:dyDescent="0.2"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</row>
    <row r="599" spans="3:40" x14ac:dyDescent="0.2"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</row>
    <row r="600" spans="3:40" x14ac:dyDescent="0.2"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</row>
    <row r="601" spans="3:40" x14ac:dyDescent="0.2"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</row>
    <row r="602" spans="3:40" x14ac:dyDescent="0.2"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</row>
    <row r="603" spans="3:40" x14ac:dyDescent="0.2"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</row>
    <row r="604" spans="3:40" x14ac:dyDescent="0.2"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</row>
    <row r="605" spans="3:40" x14ac:dyDescent="0.2"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</row>
    <row r="606" spans="3:40" x14ac:dyDescent="0.2"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</row>
    <row r="607" spans="3:40" x14ac:dyDescent="0.2"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</row>
    <row r="608" spans="3:40" x14ac:dyDescent="0.2"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</row>
    <row r="609" spans="3:40" x14ac:dyDescent="0.2"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</row>
    <row r="610" spans="3:40" x14ac:dyDescent="0.2"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</row>
    <row r="611" spans="3:40" x14ac:dyDescent="0.2"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</row>
    <row r="612" spans="3:40" x14ac:dyDescent="0.2"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</row>
    <row r="613" spans="3:40" x14ac:dyDescent="0.2"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</row>
    <row r="614" spans="3:40" x14ac:dyDescent="0.2"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</row>
    <row r="615" spans="3:40" x14ac:dyDescent="0.2"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</row>
    <row r="616" spans="3:40" x14ac:dyDescent="0.2"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</row>
    <row r="617" spans="3:40" x14ac:dyDescent="0.2"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</row>
    <row r="618" spans="3:40" x14ac:dyDescent="0.2"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</row>
    <row r="619" spans="3:40" x14ac:dyDescent="0.2"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</row>
    <row r="620" spans="3:40" x14ac:dyDescent="0.2"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</row>
    <row r="621" spans="3:40" x14ac:dyDescent="0.2"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</row>
    <row r="622" spans="3:40" x14ac:dyDescent="0.2"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</row>
    <row r="623" spans="3:40" x14ac:dyDescent="0.2"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</row>
    <row r="624" spans="3:40" x14ac:dyDescent="0.2"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</row>
    <row r="625" spans="3:40" x14ac:dyDescent="0.2"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</row>
    <row r="626" spans="3:40" x14ac:dyDescent="0.2"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</row>
    <row r="627" spans="3:40" x14ac:dyDescent="0.2"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</row>
    <row r="628" spans="3:40" x14ac:dyDescent="0.2"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</row>
    <row r="629" spans="3:40" x14ac:dyDescent="0.2"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</row>
    <row r="630" spans="3:40" x14ac:dyDescent="0.2"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</row>
    <row r="631" spans="3:40" x14ac:dyDescent="0.2"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</row>
    <row r="632" spans="3:40" x14ac:dyDescent="0.2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</row>
    <row r="633" spans="3:40" x14ac:dyDescent="0.2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</row>
    <row r="634" spans="3:40" x14ac:dyDescent="0.2"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</row>
    <row r="635" spans="3:40" x14ac:dyDescent="0.2"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</row>
    <row r="636" spans="3:40" x14ac:dyDescent="0.2"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</row>
    <row r="637" spans="3:40" x14ac:dyDescent="0.2"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</row>
    <row r="638" spans="3:40" x14ac:dyDescent="0.2"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</row>
    <row r="639" spans="3:40" x14ac:dyDescent="0.2"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</row>
    <row r="640" spans="3:40" x14ac:dyDescent="0.2"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</row>
    <row r="641" spans="3:40" x14ac:dyDescent="0.2"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</row>
    <row r="642" spans="3:40" x14ac:dyDescent="0.2"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</row>
    <row r="643" spans="3:40" x14ac:dyDescent="0.2"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</row>
    <row r="644" spans="3:40" x14ac:dyDescent="0.2"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</row>
    <row r="645" spans="3:40" x14ac:dyDescent="0.2"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</row>
    <row r="646" spans="3:40" x14ac:dyDescent="0.2"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</row>
    <row r="647" spans="3:40" x14ac:dyDescent="0.2"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</row>
    <row r="648" spans="3:40" x14ac:dyDescent="0.2"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</row>
    <row r="649" spans="3:40" x14ac:dyDescent="0.2"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</row>
    <row r="650" spans="3:40" x14ac:dyDescent="0.2"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</row>
    <row r="651" spans="3:40" x14ac:dyDescent="0.2"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</row>
    <row r="652" spans="3:40" x14ac:dyDescent="0.2"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</row>
    <row r="653" spans="3:40" x14ac:dyDescent="0.2"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</row>
    <row r="654" spans="3:40" x14ac:dyDescent="0.2"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</row>
    <row r="655" spans="3:40" x14ac:dyDescent="0.2"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</row>
    <row r="656" spans="3:40" x14ac:dyDescent="0.2"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</row>
    <row r="657" spans="3:40" x14ac:dyDescent="0.2"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</row>
    <row r="658" spans="3:40" x14ac:dyDescent="0.2"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</row>
    <row r="659" spans="3:40" x14ac:dyDescent="0.2"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</row>
    <row r="660" spans="3:40" x14ac:dyDescent="0.2"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</row>
    <row r="661" spans="3:40" x14ac:dyDescent="0.2"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</row>
    <row r="662" spans="3:40" x14ac:dyDescent="0.2"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</row>
    <row r="663" spans="3:40" x14ac:dyDescent="0.2"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</row>
    <row r="664" spans="3:40" x14ac:dyDescent="0.2"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</row>
    <row r="665" spans="3:40" x14ac:dyDescent="0.2"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</row>
    <row r="666" spans="3:40" x14ac:dyDescent="0.2"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</row>
    <row r="667" spans="3:40" x14ac:dyDescent="0.2"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</row>
    <row r="668" spans="3:40" x14ac:dyDescent="0.2"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</row>
    <row r="669" spans="3:40" x14ac:dyDescent="0.2"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</row>
    <row r="670" spans="3:40" x14ac:dyDescent="0.2"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</row>
    <row r="671" spans="3:40" x14ac:dyDescent="0.2"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</row>
    <row r="672" spans="3:40" x14ac:dyDescent="0.2"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</row>
    <row r="673" spans="3:40" x14ac:dyDescent="0.2"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</row>
    <row r="674" spans="3:40" x14ac:dyDescent="0.2"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</row>
    <row r="675" spans="3:40" x14ac:dyDescent="0.2"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</row>
    <row r="676" spans="3:40" x14ac:dyDescent="0.2"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</row>
    <row r="677" spans="3:40" x14ac:dyDescent="0.2"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</row>
    <row r="678" spans="3:40" x14ac:dyDescent="0.2"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</row>
    <row r="679" spans="3:40" x14ac:dyDescent="0.2"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</row>
    <row r="680" spans="3:40" x14ac:dyDescent="0.2"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</row>
    <row r="681" spans="3:40" x14ac:dyDescent="0.2"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</row>
    <row r="682" spans="3:40" x14ac:dyDescent="0.2"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</row>
    <row r="683" spans="3:40" x14ac:dyDescent="0.2"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</row>
    <row r="684" spans="3:40" x14ac:dyDescent="0.2"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</row>
    <row r="685" spans="3:40" x14ac:dyDescent="0.2"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</row>
    <row r="686" spans="3:40" x14ac:dyDescent="0.2"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</row>
    <row r="687" spans="3:40" x14ac:dyDescent="0.2"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</row>
    <row r="688" spans="3:40" x14ac:dyDescent="0.2"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</row>
    <row r="689" spans="3:40" x14ac:dyDescent="0.2"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</row>
    <row r="690" spans="3:40" x14ac:dyDescent="0.2"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</row>
    <row r="691" spans="3:40" x14ac:dyDescent="0.2"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</row>
    <row r="692" spans="3:40" x14ac:dyDescent="0.2"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</row>
    <row r="693" spans="3:40" x14ac:dyDescent="0.2"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</row>
    <row r="694" spans="3:40" x14ac:dyDescent="0.2"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</row>
    <row r="695" spans="3:40" x14ac:dyDescent="0.2"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</row>
    <row r="696" spans="3:40" x14ac:dyDescent="0.2"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</row>
    <row r="697" spans="3:40" x14ac:dyDescent="0.2"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</row>
    <row r="698" spans="3:40" x14ac:dyDescent="0.2"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</row>
    <row r="699" spans="3:40" x14ac:dyDescent="0.2"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</row>
    <row r="700" spans="3:40" x14ac:dyDescent="0.2"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</row>
    <row r="701" spans="3:40" x14ac:dyDescent="0.2"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</row>
    <row r="702" spans="3:40" x14ac:dyDescent="0.2"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</row>
    <row r="703" spans="3:40" x14ac:dyDescent="0.2"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</row>
    <row r="704" spans="3:40" x14ac:dyDescent="0.2"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</row>
    <row r="705" spans="3:40" x14ac:dyDescent="0.2"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</row>
    <row r="706" spans="3:40" x14ac:dyDescent="0.2"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</row>
    <row r="707" spans="3:40" x14ac:dyDescent="0.2"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</row>
    <row r="708" spans="3:40" x14ac:dyDescent="0.2"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</row>
    <row r="709" spans="3:40" x14ac:dyDescent="0.2"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</row>
    <row r="710" spans="3:40" x14ac:dyDescent="0.2"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</row>
    <row r="711" spans="3:40" x14ac:dyDescent="0.2"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</row>
    <row r="712" spans="3:40" x14ac:dyDescent="0.2"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</row>
    <row r="713" spans="3:40" x14ac:dyDescent="0.2"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</row>
    <row r="714" spans="3:40" x14ac:dyDescent="0.2"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</row>
    <row r="715" spans="3:40" x14ac:dyDescent="0.2"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</row>
    <row r="716" spans="3:40" x14ac:dyDescent="0.2"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</row>
    <row r="717" spans="3:40" x14ac:dyDescent="0.2"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</row>
    <row r="718" spans="3:40" x14ac:dyDescent="0.2"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</row>
    <row r="719" spans="3:40" x14ac:dyDescent="0.2"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</row>
    <row r="720" spans="3:40" x14ac:dyDescent="0.2"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</row>
    <row r="721" spans="3:40" x14ac:dyDescent="0.2"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</row>
    <row r="722" spans="3:40" x14ac:dyDescent="0.2"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</row>
    <row r="723" spans="3:40" x14ac:dyDescent="0.2"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</row>
    <row r="724" spans="3:40" x14ac:dyDescent="0.2"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</row>
    <row r="725" spans="3:40" x14ac:dyDescent="0.2"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</row>
    <row r="726" spans="3:40" x14ac:dyDescent="0.2"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</row>
    <row r="727" spans="3:40" x14ac:dyDescent="0.2"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</row>
    <row r="728" spans="3:40" x14ac:dyDescent="0.2"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</row>
    <row r="729" spans="3:40" x14ac:dyDescent="0.2"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</row>
    <row r="730" spans="3:40" x14ac:dyDescent="0.2"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</row>
    <row r="731" spans="3:40" x14ac:dyDescent="0.2"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</row>
    <row r="732" spans="3:40" x14ac:dyDescent="0.2"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</row>
    <row r="733" spans="3:40" x14ac:dyDescent="0.2"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</row>
    <row r="734" spans="3:40" x14ac:dyDescent="0.2"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</row>
    <row r="735" spans="3:40" x14ac:dyDescent="0.2"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</row>
    <row r="736" spans="3:40" x14ac:dyDescent="0.2"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</row>
    <row r="737" spans="3:40" x14ac:dyDescent="0.2"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</row>
    <row r="738" spans="3:40" x14ac:dyDescent="0.2"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</row>
    <row r="739" spans="3:40" x14ac:dyDescent="0.2"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</row>
    <row r="740" spans="3:40" x14ac:dyDescent="0.2"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</row>
    <row r="741" spans="3:40" x14ac:dyDescent="0.2"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</row>
    <row r="742" spans="3:40" x14ac:dyDescent="0.2"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</row>
    <row r="743" spans="3:40" x14ac:dyDescent="0.2"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</row>
    <row r="744" spans="3:40" x14ac:dyDescent="0.2"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</row>
    <row r="745" spans="3:40" x14ac:dyDescent="0.2"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</row>
    <row r="746" spans="3:40" x14ac:dyDescent="0.2"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</row>
    <row r="747" spans="3:40" x14ac:dyDescent="0.2"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</row>
    <row r="748" spans="3:40" x14ac:dyDescent="0.2"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</row>
    <row r="749" spans="3:40" x14ac:dyDescent="0.2"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</row>
    <row r="750" spans="3:40" x14ac:dyDescent="0.2"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</row>
    <row r="751" spans="3:40" x14ac:dyDescent="0.2"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</row>
    <row r="752" spans="3:40" x14ac:dyDescent="0.2"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</row>
    <row r="753" spans="3:40" x14ac:dyDescent="0.2"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</row>
    <row r="754" spans="3:40" x14ac:dyDescent="0.2"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</row>
    <row r="755" spans="3:40" x14ac:dyDescent="0.2"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</row>
    <row r="756" spans="3:40" x14ac:dyDescent="0.2"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</row>
    <row r="757" spans="3:40" x14ac:dyDescent="0.2"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</row>
    <row r="758" spans="3:40" x14ac:dyDescent="0.2"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</row>
    <row r="759" spans="3:40" x14ac:dyDescent="0.2"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</row>
    <row r="760" spans="3:40" x14ac:dyDescent="0.2"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</row>
    <row r="761" spans="3:40" x14ac:dyDescent="0.2"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</row>
    <row r="762" spans="3:40" x14ac:dyDescent="0.2"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</row>
    <row r="763" spans="3:40" x14ac:dyDescent="0.2"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</row>
    <row r="764" spans="3:40" x14ac:dyDescent="0.2"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</row>
    <row r="765" spans="3:40" x14ac:dyDescent="0.2"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</row>
    <row r="766" spans="3:40" x14ac:dyDescent="0.2"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</row>
    <row r="767" spans="3:40" x14ac:dyDescent="0.2"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</row>
    <row r="768" spans="3:40" x14ac:dyDescent="0.2"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</row>
    <row r="769" spans="3:40" x14ac:dyDescent="0.2"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</row>
    <row r="770" spans="3:40" x14ac:dyDescent="0.2"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</row>
    <row r="771" spans="3:40" x14ac:dyDescent="0.2"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</row>
    <row r="772" spans="3:40" x14ac:dyDescent="0.2"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</row>
    <row r="773" spans="3:40" x14ac:dyDescent="0.2"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</row>
    <row r="774" spans="3:40" x14ac:dyDescent="0.2"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</row>
    <row r="775" spans="3:40" x14ac:dyDescent="0.2"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</row>
    <row r="776" spans="3:40" x14ac:dyDescent="0.2"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</row>
    <row r="777" spans="3:40" x14ac:dyDescent="0.2"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</row>
    <row r="778" spans="3:40" x14ac:dyDescent="0.2"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</row>
    <row r="779" spans="3:40" x14ac:dyDescent="0.2"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</row>
    <row r="780" spans="3:40" x14ac:dyDescent="0.2"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</row>
    <row r="781" spans="3:40" x14ac:dyDescent="0.2"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</row>
    <row r="782" spans="3:40" x14ac:dyDescent="0.2"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</row>
    <row r="783" spans="3:40" x14ac:dyDescent="0.2"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</row>
    <row r="784" spans="3:40" x14ac:dyDescent="0.2"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</row>
    <row r="785" spans="3:40" x14ac:dyDescent="0.2"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</row>
    <row r="786" spans="3:40" x14ac:dyDescent="0.2"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</row>
    <row r="787" spans="3:40" x14ac:dyDescent="0.2"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</row>
    <row r="788" spans="3:40" x14ac:dyDescent="0.2"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</row>
    <row r="789" spans="3:40" x14ac:dyDescent="0.2"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</row>
    <row r="790" spans="3:40" x14ac:dyDescent="0.2"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</row>
    <row r="791" spans="3:40" x14ac:dyDescent="0.2"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</row>
    <row r="792" spans="3:40" x14ac:dyDescent="0.2"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</row>
    <row r="793" spans="3:40" x14ac:dyDescent="0.2"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</row>
    <row r="794" spans="3:40" x14ac:dyDescent="0.2"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</row>
    <row r="795" spans="3:40" x14ac:dyDescent="0.2"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</row>
    <row r="796" spans="3:40" x14ac:dyDescent="0.2"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</row>
    <row r="797" spans="3:40" x14ac:dyDescent="0.2"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</row>
    <row r="798" spans="3:40" x14ac:dyDescent="0.2"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</row>
    <row r="799" spans="3:40" x14ac:dyDescent="0.2"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</row>
    <row r="800" spans="3:40" x14ac:dyDescent="0.2"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</row>
    <row r="801" spans="3:40" x14ac:dyDescent="0.2"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</row>
    <row r="802" spans="3:40" x14ac:dyDescent="0.2"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</row>
    <row r="803" spans="3:40" x14ac:dyDescent="0.2"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</row>
    <row r="804" spans="3:40" x14ac:dyDescent="0.2"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</row>
    <row r="805" spans="3:40" x14ac:dyDescent="0.2"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</row>
    <row r="806" spans="3:40" x14ac:dyDescent="0.2"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</row>
    <row r="807" spans="3:40" x14ac:dyDescent="0.2"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</row>
    <row r="808" spans="3:40" x14ac:dyDescent="0.2"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</row>
    <row r="809" spans="3:40" x14ac:dyDescent="0.2"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</row>
    <row r="810" spans="3:40" x14ac:dyDescent="0.2"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</row>
    <row r="811" spans="3:40" x14ac:dyDescent="0.2"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</row>
    <row r="812" spans="3:40" x14ac:dyDescent="0.2"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</row>
    <row r="813" spans="3:40" x14ac:dyDescent="0.2"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</row>
    <row r="814" spans="3:40" x14ac:dyDescent="0.2"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</row>
    <row r="815" spans="3:40" x14ac:dyDescent="0.2"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</row>
    <row r="816" spans="3:40" x14ac:dyDescent="0.2"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</row>
    <row r="817" spans="3:40" x14ac:dyDescent="0.2"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</row>
    <row r="818" spans="3:40" x14ac:dyDescent="0.2"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</row>
    <row r="819" spans="3:40" x14ac:dyDescent="0.2"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</row>
    <row r="820" spans="3:40" x14ac:dyDescent="0.2"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</row>
    <row r="821" spans="3:40" x14ac:dyDescent="0.2"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</row>
    <row r="822" spans="3:40" x14ac:dyDescent="0.2"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</row>
    <row r="823" spans="3:40" x14ac:dyDescent="0.2"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</row>
    <row r="824" spans="3:40" x14ac:dyDescent="0.2"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</row>
    <row r="825" spans="3:40" x14ac:dyDescent="0.2"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</row>
    <row r="826" spans="3:40" x14ac:dyDescent="0.2"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</row>
    <row r="827" spans="3:40" x14ac:dyDescent="0.2"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</row>
    <row r="828" spans="3:40" x14ac:dyDescent="0.2"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</row>
    <row r="829" spans="3:40" x14ac:dyDescent="0.2"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</row>
    <row r="830" spans="3:40" x14ac:dyDescent="0.2"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</row>
    <row r="831" spans="3:40" x14ac:dyDescent="0.2"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</row>
    <row r="832" spans="3:40" x14ac:dyDescent="0.2"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</row>
    <row r="833" spans="3:40" x14ac:dyDescent="0.2"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</row>
    <row r="834" spans="3:40" x14ac:dyDescent="0.2"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</row>
    <row r="835" spans="3:40" x14ac:dyDescent="0.2"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</row>
    <row r="836" spans="3:40" x14ac:dyDescent="0.2"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</row>
    <row r="837" spans="3:40" x14ac:dyDescent="0.2"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</row>
    <row r="838" spans="3:40" x14ac:dyDescent="0.2"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</row>
    <row r="839" spans="3:40" x14ac:dyDescent="0.2"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</row>
    <row r="840" spans="3:40" x14ac:dyDescent="0.2"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</row>
    <row r="841" spans="3:40" x14ac:dyDescent="0.2"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</row>
    <row r="842" spans="3:40" x14ac:dyDescent="0.2"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</row>
    <row r="843" spans="3:40" x14ac:dyDescent="0.2"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</row>
    <row r="844" spans="3:40" x14ac:dyDescent="0.2"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 spans="3:40" x14ac:dyDescent="0.2"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 spans="3:40" x14ac:dyDescent="0.2"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 spans="3:40" x14ac:dyDescent="0.2"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 spans="3:40" x14ac:dyDescent="0.2"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 spans="3:23" x14ac:dyDescent="0.2"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 spans="3:23" x14ac:dyDescent="0.2"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3:23" x14ac:dyDescent="0.2"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 spans="3:23" x14ac:dyDescent="0.2"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 spans="3:23" x14ac:dyDescent="0.2"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 spans="3:23" x14ac:dyDescent="0.2"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 spans="3:23" x14ac:dyDescent="0.2"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 spans="3:23" x14ac:dyDescent="0.2"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3:23" x14ac:dyDescent="0.2"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 spans="3:23" x14ac:dyDescent="0.2"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 spans="3:23" x14ac:dyDescent="0.2"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 spans="3:23" x14ac:dyDescent="0.2"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3:23" x14ac:dyDescent="0.2"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 spans="3:23" x14ac:dyDescent="0.2"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 spans="3:23" x14ac:dyDescent="0.2"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 spans="3:23" x14ac:dyDescent="0.2"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 spans="3:23" x14ac:dyDescent="0.2"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 spans="3:23" x14ac:dyDescent="0.2"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 spans="3:23" x14ac:dyDescent="0.2"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 spans="3:23" x14ac:dyDescent="0.2"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 spans="3:23" x14ac:dyDescent="0.2"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3:23" x14ac:dyDescent="0.2"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 spans="3:23" x14ac:dyDescent="0.2"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 spans="3:23" x14ac:dyDescent="0.2"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 spans="3:23" x14ac:dyDescent="0.2"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 spans="3:23" x14ac:dyDescent="0.2"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 spans="3:23" x14ac:dyDescent="0.2"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 spans="3:23" x14ac:dyDescent="0.2"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 spans="3:23" x14ac:dyDescent="0.2"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 spans="3:23" x14ac:dyDescent="0.2"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3:23" x14ac:dyDescent="0.2"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 spans="3:23" x14ac:dyDescent="0.2"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 spans="3:23" x14ac:dyDescent="0.2"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 spans="3:23" x14ac:dyDescent="0.2"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3:23" x14ac:dyDescent="0.2"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 spans="3:23" x14ac:dyDescent="0.2"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 spans="3:23" x14ac:dyDescent="0.2"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  <row r="886" spans="3:23" x14ac:dyDescent="0.2"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</row>
    <row r="887" spans="3:23" x14ac:dyDescent="0.2"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</row>
    <row r="888" spans="3:23" x14ac:dyDescent="0.2"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</row>
    <row r="889" spans="3:23" x14ac:dyDescent="0.2"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</row>
    <row r="890" spans="3:23" x14ac:dyDescent="0.2"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</row>
    <row r="891" spans="3:23" x14ac:dyDescent="0.2"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</row>
    <row r="892" spans="3:23" x14ac:dyDescent="0.2"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3:23" x14ac:dyDescent="0.2"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</row>
    <row r="894" spans="3:23" x14ac:dyDescent="0.2"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</row>
    <row r="895" spans="3:23" x14ac:dyDescent="0.2"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</row>
    <row r="896" spans="3:23" x14ac:dyDescent="0.2"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</row>
    <row r="897" spans="3:23" x14ac:dyDescent="0.2"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</row>
    <row r="898" spans="3:23" x14ac:dyDescent="0.2"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3:23" x14ac:dyDescent="0.2"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</row>
    <row r="900" spans="3:23" x14ac:dyDescent="0.2"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</row>
    <row r="901" spans="3:23" x14ac:dyDescent="0.2"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</row>
    <row r="902" spans="3:23" x14ac:dyDescent="0.2"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</row>
    <row r="903" spans="3:23" x14ac:dyDescent="0.2"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</row>
    <row r="904" spans="3:23" x14ac:dyDescent="0.2"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</row>
    <row r="905" spans="3:23" x14ac:dyDescent="0.2"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</row>
    <row r="906" spans="3:23" x14ac:dyDescent="0.2"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</row>
    <row r="907" spans="3:23" x14ac:dyDescent="0.2"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</row>
    <row r="908" spans="3:23" x14ac:dyDescent="0.2"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</row>
    <row r="909" spans="3:23" x14ac:dyDescent="0.2"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</row>
    <row r="910" spans="3:23" x14ac:dyDescent="0.2"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</row>
    <row r="911" spans="3:23" x14ac:dyDescent="0.2"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</row>
    <row r="912" spans="3:23" x14ac:dyDescent="0.2"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3:23" x14ac:dyDescent="0.2"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</row>
    <row r="914" spans="3:23" x14ac:dyDescent="0.2"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</row>
    <row r="915" spans="3:23" x14ac:dyDescent="0.2"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3:23" x14ac:dyDescent="0.2"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</row>
    <row r="917" spans="3:23" x14ac:dyDescent="0.2"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</row>
    <row r="918" spans="3:23" x14ac:dyDescent="0.2"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</row>
    <row r="919" spans="3:23" x14ac:dyDescent="0.2"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</row>
    <row r="920" spans="3:23" x14ac:dyDescent="0.2"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</row>
    <row r="921" spans="3:23" x14ac:dyDescent="0.2"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</row>
    <row r="922" spans="3:23" x14ac:dyDescent="0.2"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3:23" x14ac:dyDescent="0.2"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</row>
    <row r="924" spans="3:23" x14ac:dyDescent="0.2"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</row>
    <row r="925" spans="3:23" x14ac:dyDescent="0.2"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</row>
    <row r="926" spans="3:23" x14ac:dyDescent="0.2"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</row>
    <row r="927" spans="3:23" x14ac:dyDescent="0.2"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</row>
    <row r="928" spans="3:23" x14ac:dyDescent="0.2"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</row>
    <row r="929" spans="3:23" x14ac:dyDescent="0.2"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</row>
    <row r="930" spans="3:23" x14ac:dyDescent="0.2"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</row>
    <row r="931" spans="3:23" x14ac:dyDescent="0.2"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</row>
    <row r="932" spans="3:23" x14ac:dyDescent="0.2"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</row>
    <row r="933" spans="3:23" x14ac:dyDescent="0.2"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</row>
    <row r="934" spans="3:23" x14ac:dyDescent="0.2"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</row>
    <row r="935" spans="3:23" x14ac:dyDescent="0.2"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</row>
    <row r="936" spans="3:23" x14ac:dyDescent="0.2"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</row>
    <row r="937" spans="3:23" x14ac:dyDescent="0.2"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</row>
    <row r="938" spans="3:23" x14ac:dyDescent="0.2"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</row>
    <row r="939" spans="3:23" x14ac:dyDescent="0.2"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3:23" x14ac:dyDescent="0.2"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</row>
    <row r="941" spans="3:23" x14ac:dyDescent="0.2"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</row>
    <row r="942" spans="3:23" x14ac:dyDescent="0.2"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</row>
    <row r="943" spans="3:23" x14ac:dyDescent="0.2"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</row>
    <row r="944" spans="3:23" x14ac:dyDescent="0.2"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</row>
    <row r="945" spans="3:23" x14ac:dyDescent="0.2"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</row>
    <row r="946" spans="3:23" x14ac:dyDescent="0.2"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3:23" x14ac:dyDescent="0.2"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</row>
    <row r="948" spans="3:23" x14ac:dyDescent="0.2"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3:23" x14ac:dyDescent="0.2"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3:23" x14ac:dyDescent="0.2"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3:23" x14ac:dyDescent="0.2"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3:23" x14ac:dyDescent="0.2"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3:23" x14ac:dyDescent="0.2"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3:23" x14ac:dyDescent="0.2"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3:23" x14ac:dyDescent="0.2"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3:23" x14ac:dyDescent="0.2"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3:23" x14ac:dyDescent="0.2"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3:23" x14ac:dyDescent="0.2"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3:23" x14ac:dyDescent="0.2"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  <row r="960" spans="3:23" x14ac:dyDescent="0.2"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</row>
    <row r="961" spans="3:23" x14ac:dyDescent="0.2"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3:23" x14ac:dyDescent="0.2"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</row>
    <row r="963" spans="3:23" x14ac:dyDescent="0.2"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</row>
    <row r="964" spans="3:23" x14ac:dyDescent="0.2"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</row>
    <row r="965" spans="3:23" x14ac:dyDescent="0.2"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</row>
    <row r="966" spans="3:23" x14ac:dyDescent="0.2"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</row>
    <row r="967" spans="3:23" x14ac:dyDescent="0.2"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</row>
    <row r="968" spans="3:23" x14ac:dyDescent="0.2"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</row>
    <row r="969" spans="3:23" x14ac:dyDescent="0.2"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</row>
    <row r="970" spans="3:23" x14ac:dyDescent="0.2"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</row>
    <row r="971" spans="3:23" x14ac:dyDescent="0.2"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</row>
    <row r="972" spans="3:23" x14ac:dyDescent="0.2"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</row>
    <row r="973" spans="3:23" x14ac:dyDescent="0.2"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</row>
    <row r="974" spans="3:23" x14ac:dyDescent="0.2"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</row>
    <row r="975" spans="3:23" x14ac:dyDescent="0.2"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</row>
    <row r="976" spans="3:23" x14ac:dyDescent="0.2"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</row>
    <row r="977" spans="3:23" x14ac:dyDescent="0.2"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</row>
    <row r="978" spans="3:23" x14ac:dyDescent="0.2"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</row>
    <row r="979" spans="3:23" x14ac:dyDescent="0.2"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</row>
    <row r="980" spans="3:23" x14ac:dyDescent="0.2"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</row>
    <row r="981" spans="3:23" x14ac:dyDescent="0.2"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</row>
    <row r="982" spans="3:23" x14ac:dyDescent="0.2"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</row>
    <row r="983" spans="3:23" x14ac:dyDescent="0.2"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</row>
    <row r="984" spans="3:23" x14ac:dyDescent="0.2"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</row>
    <row r="985" spans="3:23" x14ac:dyDescent="0.2"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</row>
    <row r="986" spans="3:23" x14ac:dyDescent="0.2"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</row>
    <row r="987" spans="3:23" x14ac:dyDescent="0.2"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</row>
    <row r="988" spans="3:23" x14ac:dyDescent="0.2"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</row>
    <row r="989" spans="3:23" x14ac:dyDescent="0.2"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</row>
    <row r="990" spans="3:23" x14ac:dyDescent="0.2"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</row>
    <row r="991" spans="3:23" x14ac:dyDescent="0.2"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</row>
    <row r="992" spans="3:23" x14ac:dyDescent="0.2"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</row>
    <row r="993" spans="3:23" x14ac:dyDescent="0.2"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</row>
    <row r="994" spans="3:23" x14ac:dyDescent="0.2"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</row>
    <row r="995" spans="3:23" x14ac:dyDescent="0.2"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</row>
    <row r="996" spans="3:23" x14ac:dyDescent="0.2"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</row>
    <row r="997" spans="3:23" x14ac:dyDescent="0.2"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</row>
    <row r="998" spans="3:23" x14ac:dyDescent="0.2"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</row>
    <row r="999" spans="3:23" x14ac:dyDescent="0.2"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</row>
    <row r="1000" spans="3:23" x14ac:dyDescent="0.2"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</row>
    <row r="1001" spans="3:23" x14ac:dyDescent="0.2"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</row>
    <row r="1002" spans="3:23" x14ac:dyDescent="0.2"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</row>
    <row r="1003" spans="3:23" x14ac:dyDescent="0.2"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</row>
    <row r="1004" spans="3:23" x14ac:dyDescent="0.2"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</row>
    <row r="1005" spans="3:23" x14ac:dyDescent="0.2"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</row>
    <row r="1006" spans="3:23" x14ac:dyDescent="0.2"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</row>
    <row r="1007" spans="3:23" x14ac:dyDescent="0.2"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</row>
    <row r="1008" spans="3:23" x14ac:dyDescent="0.2"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</row>
    <row r="1009" spans="3:23" x14ac:dyDescent="0.2"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</row>
    <row r="1010" spans="3:23" x14ac:dyDescent="0.2"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</row>
    <row r="1011" spans="3:23" x14ac:dyDescent="0.2"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</row>
    <row r="1012" spans="3:23" x14ac:dyDescent="0.2"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</row>
    <row r="1013" spans="3:23" x14ac:dyDescent="0.2"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</row>
    <row r="1014" spans="3:23" x14ac:dyDescent="0.2"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</row>
    <row r="1015" spans="3:23" x14ac:dyDescent="0.2"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</row>
    <row r="1016" spans="3:23" x14ac:dyDescent="0.2"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</row>
    <row r="1017" spans="3:23" x14ac:dyDescent="0.2"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</row>
    <row r="1018" spans="3:23" x14ac:dyDescent="0.2"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</row>
    <row r="1019" spans="3:23" x14ac:dyDescent="0.2"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</row>
    <row r="1020" spans="3:23" x14ac:dyDescent="0.2"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</row>
    <row r="1021" spans="3:23" x14ac:dyDescent="0.2"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</row>
    <row r="1022" spans="3:23" x14ac:dyDescent="0.2"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</row>
    <row r="1023" spans="3:23" x14ac:dyDescent="0.2"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</row>
    <row r="1024" spans="3:23" x14ac:dyDescent="0.2"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</row>
    <row r="1025" spans="3:23" x14ac:dyDescent="0.2"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</row>
    <row r="1026" spans="3:23" x14ac:dyDescent="0.2"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</row>
    <row r="1027" spans="3:23" x14ac:dyDescent="0.2"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</row>
    <row r="1028" spans="3:23" x14ac:dyDescent="0.2"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</row>
    <row r="1029" spans="3:23" x14ac:dyDescent="0.2"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</row>
    <row r="1030" spans="3:23" x14ac:dyDescent="0.2"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</row>
    <row r="1031" spans="3:23" x14ac:dyDescent="0.2"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</row>
    <row r="1032" spans="3:23" x14ac:dyDescent="0.2"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</row>
    <row r="1033" spans="3:23" x14ac:dyDescent="0.2"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</row>
    <row r="1034" spans="3:23" x14ac:dyDescent="0.2"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</row>
    <row r="1035" spans="3:23" x14ac:dyDescent="0.2"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</row>
    <row r="1036" spans="3:23" x14ac:dyDescent="0.2"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</row>
    <row r="1037" spans="3:23" x14ac:dyDescent="0.2"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</row>
    <row r="1038" spans="3:23" x14ac:dyDescent="0.2"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</row>
    <row r="1039" spans="3:23" x14ac:dyDescent="0.2"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</row>
    <row r="1040" spans="3:23" x14ac:dyDescent="0.2"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</row>
    <row r="1041" spans="3:23" x14ac:dyDescent="0.2"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</row>
    <row r="1042" spans="3:23" x14ac:dyDescent="0.2"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</row>
    <row r="1043" spans="3:23" x14ac:dyDescent="0.2"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</row>
    <row r="1044" spans="3:23" x14ac:dyDescent="0.2"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</row>
    <row r="1045" spans="3:23" x14ac:dyDescent="0.2"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</row>
    <row r="1046" spans="3:23" x14ac:dyDescent="0.2"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</row>
    <row r="1047" spans="3:23" x14ac:dyDescent="0.2"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</row>
    <row r="1048" spans="3:23" x14ac:dyDescent="0.2"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</row>
    <row r="1049" spans="3:23" x14ac:dyDescent="0.2"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</row>
    <row r="1050" spans="3:23" x14ac:dyDescent="0.2"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</row>
    <row r="1051" spans="3:23" x14ac:dyDescent="0.2"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</row>
    <row r="1052" spans="3:23" x14ac:dyDescent="0.2"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</row>
    <row r="1053" spans="3:23" x14ac:dyDescent="0.2"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</row>
    <row r="1054" spans="3:23" x14ac:dyDescent="0.2"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</row>
    <row r="1055" spans="3:23" x14ac:dyDescent="0.2"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</row>
    <row r="1056" spans="3:23" x14ac:dyDescent="0.2"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</row>
    <row r="1057" spans="3:23" x14ac:dyDescent="0.2"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</row>
    <row r="1058" spans="3:23" x14ac:dyDescent="0.2"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</row>
    <row r="1059" spans="3:23" x14ac:dyDescent="0.2"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</row>
    <row r="1060" spans="3:23" x14ac:dyDescent="0.2"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</row>
    <row r="1061" spans="3:23" x14ac:dyDescent="0.2"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</row>
    <row r="1062" spans="3:23" x14ac:dyDescent="0.2"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</row>
    <row r="1063" spans="3:23" x14ac:dyDescent="0.2"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</row>
    <row r="1064" spans="3:23" x14ac:dyDescent="0.2"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</row>
    <row r="1065" spans="3:23" x14ac:dyDescent="0.2"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</row>
    <row r="1066" spans="3:23" x14ac:dyDescent="0.2"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</row>
    <row r="1067" spans="3:23" x14ac:dyDescent="0.2"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</row>
    <row r="1068" spans="3:23" x14ac:dyDescent="0.2"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</row>
    <row r="1069" spans="3:23" x14ac:dyDescent="0.2"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</row>
    <row r="1070" spans="3:23" x14ac:dyDescent="0.2"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</row>
    <row r="1071" spans="3:23" x14ac:dyDescent="0.2"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</row>
    <row r="1072" spans="3:23" x14ac:dyDescent="0.2"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</row>
    <row r="1073" spans="3:23" x14ac:dyDescent="0.2"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</row>
    <row r="1074" spans="3:23" x14ac:dyDescent="0.2"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</row>
    <row r="1075" spans="3:23" x14ac:dyDescent="0.2"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</row>
    <row r="1076" spans="3:23" x14ac:dyDescent="0.2"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</row>
    <row r="1077" spans="3:23" x14ac:dyDescent="0.2"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</row>
    <row r="1078" spans="3:23" x14ac:dyDescent="0.2"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</row>
    <row r="1079" spans="3:23" x14ac:dyDescent="0.2"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</row>
    <row r="1080" spans="3:23" x14ac:dyDescent="0.2"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</row>
    <row r="1081" spans="3:23" x14ac:dyDescent="0.2"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</row>
    <row r="1082" spans="3:23" x14ac:dyDescent="0.2"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</row>
    <row r="1083" spans="3:23" x14ac:dyDescent="0.2"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</row>
    <row r="1084" spans="3:23" x14ac:dyDescent="0.2"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</row>
    <row r="1085" spans="3:23" x14ac:dyDescent="0.2"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</row>
    <row r="1086" spans="3:23" x14ac:dyDescent="0.2"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</row>
    <row r="1087" spans="3:23" x14ac:dyDescent="0.2"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</row>
    <row r="1088" spans="3:23" x14ac:dyDescent="0.2"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</row>
    <row r="1089" spans="3:23" x14ac:dyDescent="0.2"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</row>
    <row r="1090" spans="3:23" x14ac:dyDescent="0.2"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</row>
    <row r="1091" spans="3:23" x14ac:dyDescent="0.2"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</row>
    <row r="1092" spans="3:23" x14ac:dyDescent="0.2"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</row>
    <row r="1093" spans="3:23" x14ac:dyDescent="0.2"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</row>
    <row r="1094" spans="3:23" x14ac:dyDescent="0.2"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</row>
    <row r="1095" spans="3:23" x14ac:dyDescent="0.2"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</row>
    <row r="1096" spans="3:23" x14ac:dyDescent="0.2"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</row>
    <row r="1097" spans="3:23" x14ac:dyDescent="0.2"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</row>
    <row r="1098" spans="3:23" x14ac:dyDescent="0.2"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</row>
    <row r="1099" spans="3:23" x14ac:dyDescent="0.2"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</row>
    <row r="1100" spans="3:23" x14ac:dyDescent="0.2"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</row>
    <row r="1101" spans="3:23" x14ac:dyDescent="0.2"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</row>
    <row r="1102" spans="3:23" x14ac:dyDescent="0.2"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</row>
    <row r="1103" spans="3:23" x14ac:dyDescent="0.2"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</row>
    <row r="1104" spans="3:23" x14ac:dyDescent="0.2"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</row>
    <row r="1105" spans="3:23" x14ac:dyDescent="0.2"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</row>
    <row r="1106" spans="3:23" x14ac:dyDescent="0.2"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</row>
    <row r="1107" spans="3:23" x14ac:dyDescent="0.2"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</row>
    <row r="1108" spans="3:23" x14ac:dyDescent="0.2"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</row>
    <row r="1109" spans="3:23" x14ac:dyDescent="0.2"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</row>
    <row r="1110" spans="3:23" x14ac:dyDescent="0.2"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</row>
    <row r="1111" spans="3:23" x14ac:dyDescent="0.2"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</row>
    <row r="1112" spans="3:23" x14ac:dyDescent="0.2"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</row>
    <row r="1113" spans="3:23" x14ac:dyDescent="0.2"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</row>
    <row r="1114" spans="3:23" x14ac:dyDescent="0.2"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</row>
    <row r="1115" spans="3:23" x14ac:dyDescent="0.2"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</row>
    <row r="1116" spans="3:23" x14ac:dyDescent="0.2"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</row>
    <row r="1117" spans="3:23" x14ac:dyDescent="0.2"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</row>
    <row r="1118" spans="3:23" x14ac:dyDescent="0.2"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</row>
    <row r="1119" spans="3:23" x14ac:dyDescent="0.2"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</row>
    <row r="1120" spans="3:23" x14ac:dyDescent="0.2"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</row>
    <row r="1121" spans="3:18" x14ac:dyDescent="0.2"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</row>
    <row r="1122" spans="3:18" x14ac:dyDescent="0.2"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</row>
    <row r="1123" spans="3:18" x14ac:dyDescent="0.2"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</row>
    <row r="1124" spans="3:18" x14ac:dyDescent="0.2"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</row>
    <row r="1125" spans="3:18" x14ac:dyDescent="0.2"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</row>
    <row r="1126" spans="3:18" x14ac:dyDescent="0.2"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</row>
    <row r="1127" spans="3:18" x14ac:dyDescent="0.2"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</row>
    <row r="1128" spans="3:18" x14ac:dyDescent="0.2"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</row>
    <row r="1129" spans="3:18" x14ac:dyDescent="0.2"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</row>
    <row r="1130" spans="3:18" x14ac:dyDescent="0.2"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</row>
    <row r="1131" spans="3:18" x14ac:dyDescent="0.2"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</row>
    <row r="1132" spans="3:18" x14ac:dyDescent="0.2"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</row>
    <row r="1133" spans="3:18" x14ac:dyDescent="0.2"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</row>
    <row r="1134" spans="3:18" x14ac:dyDescent="0.2"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</row>
    <row r="1135" spans="3:18" x14ac:dyDescent="0.2"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</row>
    <row r="1136" spans="3:18" x14ac:dyDescent="0.2"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</row>
    <row r="1137" spans="3:18" x14ac:dyDescent="0.2"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</row>
    <row r="1138" spans="3:18" x14ac:dyDescent="0.2"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</row>
    <row r="1139" spans="3:18" x14ac:dyDescent="0.2"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</row>
    <row r="1140" spans="3:18" x14ac:dyDescent="0.2"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</row>
    <row r="1141" spans="3:18" x14ac:dyDescent="0.2"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</row>
    <row r="1142" spans="3:18" x14ac:dyDescent="0.2"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</row>
    <row r="1143" spans="3:18" x14ac:dyDescent="0.2"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</row>
    <row r="1144" spans="3:18" x14ac:dyDescent="0.2"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</row>
    <row r="1145" spans="3:18" x14ac:dyDescent="0.2"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</row>
    <row r="1146" spans="3:18" x14ac:dyDescent="0.2"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</row>
    <row r="1147" spans="3:18" x14ac:dyDescent="0.2"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</row>
    <row r="1148" spans="3:18" x14ac:dyDescent="0.2"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</row>
    <row r="1149" spans="3:18" x14ac:dyDescent="0.2"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</row>
    <row r="1150" spans="3:18" x14ac:dyDescent="0.2"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</row>
    <row r="1151" spans="3:18" x14ac:dyDescent="0.2"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</row>
    <row r="1152" spans="3:18" x14ac:dyDescent="0.2"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</row>
    <row r="1153" spans="3:18" x14ac:dyDescent="0.2"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</row>
    <row r="1154" spans="3:18" x14ac:dyDescent="0.2"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</row>
    <row r="1155" spans="3:18" x14ac:dyDescent="0.2"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</row>
    <row r="1156" spans="3:18" x14ac:dyDescent="0.2"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</row>
    <row r="1157" spans="3:18" x14ac:dyDescent="0.2"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</row>
    <row r="1158" spans="3:18" x14ac:dyDescent="0.2"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</row>
    <row r="1159" spans="3:18" x14ac:dyDescent="0.2"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</row>
    <row r="1160" spans="3:18" x14ac:dyDescent="0.2"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</row>
    <row r="1161" spans="3:18" x14ac:dyDescent="0.2"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</row>
    <row r="1162" spans="3:18" x14ac:dyDescent="0.2"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</row>
    <row r="1163" spans="3:18" x14ac:dyDescent="0.2"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</row>
    <row r="1164" spans="3:18" x14ac:dyDescent="0.2"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</row>
    <row r="1165" spans="3:18" x14ac:dyDescent="0.2"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</row>
    <row r="1166" spans="3:18" x14ac:dyDescent="0.2"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</row>
    <row r="1167" spans="3:18" x14ac:dyDescent="0.2"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</row>
    <row r="1168" spans="3:18" x14ac:dyDescent="0.2"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</row>
    <row r="1169" spans="3:18" x14ac:dyDescent="0.2"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</row>
    <row r="1170" spans="3:18" x14ac:dyDescent="0.2"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</row>
    <row r="1171" spans="3:18" x14ac:dyDescent="0.2"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</row>
    <row r="1172" spans="3:18" x14ac:dyDescent="0.2"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</row>
    <row r="1173" spans="3:18" x14ac:dyDescent="0.2"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</row>
    <row r="1174" spans="3:18" x14ac:dyDescent="0.2"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</row>
    <row r="1175" spans="3:18" x14ac:dyDescent="0.2"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</row>
    <row r="1176" spans="3:18" x14ac:dyDescent="0.2"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</row>
    <row r="1177" spans="3:18" x14ac:dyDescent="0.2"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</row>
    <row r="1178" spans="3:18" x14ac:dyDescent="0.2"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</row>
    <row r="1179" spans="3:18" x14ac:dyDescent="0.2"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</row>
    <row r="1180" spans="3:18" x14ac:dyDescent="0.2"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</row>
    <row r="1181" spans="3:18" x14ac:dyDescent="0.2"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</row>
    <row r="1182" spans="3:18" x14ac:dyDescent="0.2"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</row>
    <row r="1183" spans="3:18" x14ac:dyDescent="0.2"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</row>
    <row r="1184" spans="3:18" x14ac:dyDescent="0.2"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</row>
    <row r="1185" spans="3:18" x14ac:dyDescent="0.2"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</row>
    <row r="1186" spans="3:18" x14ac:dyDescent="0.2"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</row>
    <row r="1187" spans="3:18" x14ac:dyDescent="0.2"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</row>
    <row r="1188" spans="3:18" x14ac:dyDescent="0.2"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</row>
    <row r="1189" spans="3:18" x14ac:dyDescent="0.2"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</row>
    <row r="1190" spans="3:18" x14ac:dyDescent="0.2"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</row>
    <row r="1191" spans="3:18" x14ac:dyDescent="0.2"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</row>
    <row r="1192" spans="3:18" x14ac:dyDescent="0.2"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</row>
    <row r="1193" spans="3:18" x14ac:dyDescent="0.2"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</row>
    <row r="1194" spans="3:18" x14ac:dyDescent="0.2"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</row>
    <row r="1195" spans="3:18" x14ac:dyDescent="0.2"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</row>
    <row r="1196" spans="3:18" x14ac:dyDescent="0.2"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</row>
    <row r="1197" spans="3:18" x14ac:dyDescent="0.2"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</row>
    <row r="1198" spans="3:18" x14ac:dyDescent="0.2"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</row>
    <row r="1199" spans="3:18" x14ac:dyDescent="0.2"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</row>
    <row r="1200" spans="3:18" x14ac:dyDescent="0.2"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</row>
    <row r="1201" spans="3:18" x14ac:dyDescent="0.2"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</row>
    <row r="1202" spans="3:18" x14ac:dyDescent="0.2"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</row>
    <row r="1203" spans="3:18" x14ac:dyDescent="0.2"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</row>
  </sheetData>
  <sheetProtection algorithmName="SHA-512" hashValue="Rn0a8tw5f2BBnUpUjBOY40aKk7vYUERB7pAwnssgqwA7Av9qj7IyQ37auee43Sb5pcXamqJ2qx0GTxadc0ZZWg==" saltValue="5THmq6PxWQ0er27mq4kkTg==" spinCount="100000" sheet="1" objects="1" scenarios="1"/>
  <customSheetViews>
    <customSheetView guid="{3B4B8DC2-FA84-11D2-9A83-D06F0DC10000}" scale="75" colorId="17" showGridLines="0" showRowCol="0" fitToPage="1" printArea="1" hiddenColumns="1" showRuler="0">
      <selection activeCell="B2" sqref="B2"/>
      <pageMargins left="0.96" right="0.31496062992125984" top="0.41" bottom="0.28000000000000003" header="0.3" footer="0.42"/>
      <pageSetup paperSize="9" scale="96" orientation="portrait" verticalDpi="0" r:id="rId1"/>
      <headerFooter alignWithMargins="0"/>
    </customSheetView>
  </customSheetViews>
  <mergeCells count="1">
    <mergeCell ref="B63:K63"/>
  </mergeCells>
  <phoneticPr fontId="0" type="noConversion"/>
  <hyperlinks>
    <hyperlink ref="B63" r:id="rId2" display="AB&amp;CO - TT BOILERS A/S  |  Copenhagen, Denmark   | T: +45 4817 7599  E: main@abco.dk W:  www.abco.dk"/>
  </hyperlinks>
  <pageMargins left="0.96" right="0.31496062992125984" top="0.41" bottom="0.28000000000000003" header="0.3" footer="0.42"/>
  <pageSetup paperSize="9" scale="96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B4B8DC2-FA84-11D2-9A83-D06F0DC1000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B4B8DC2-FA84-11D2-9A83-D06F0DC1000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damptabel</vt:lpstr>
      <vt:lpstr>lufttabel</vt:lpstr>
      <vt:lpstr>Sheet1!Udskriftsområde</vt:lpstr>
    </vt:vector>
  </TitlesOfParts>
  <Company>AB + Co Thermal Transfer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arvid</cp:lastModifiedBy>
  <cp:lastPrinted>1999-04-24T18:23:11Z</cp:lastPrinted>
  <dcterms:created xsi:type="dcterms:W3CDTF">1999-03-27T13:56:20Z</dcterms:created>
  <dcterms:modified xsi:type="dcterms:W3CDTF">2019-08-27T12:08:12Z</dcterms:modified>
</cp:coreProperties>
</file>